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5516" windowWidth="24120" windowHeight="14420" activeTab="1"/>
  </bookViews>
  <sheets>
    <sheet name="Dec" sheetId="1" r:id="rId1"/>
    <sheet name="Results" sheetId="2" r:id="rId2"/>
    <sheet name="print" sheetId="3" r:id="rId3"/>
    <sheet name="dist" sheetId="4" r:id="rId4"/>
    <sheet name="height" sheetId="5" r:id="rId5"/>
    <sheet name="Lanes" sheetId="6" r:id="rId6"/>
    <sheet name="nonscoring" sheetId="7" r:id="rId7"/>
  </sheets>
  <definedNames>
    <definedName name="Age">'Dec'!$A$336:$B$344</definedName>
    <definedName name="AWstandards">'Dec'!$A$293:$M$313</definedName>
    <definedName name="Clubs">'Dec'!$B$93:$C$178</definedName>
    <definedName name="Division">'Dec'!$A$180:$B$183</definedName>
    <definedName name="Event">'Dec'!$A$11:$A$29</definedName>
    <definedName name="HTML_CodePage" hidden="1">1252</definedName>
    <definedName name="HTML_Control" localSheetId="0" hidden="1">{"'results'!$F$1:$R$43"}</definedName>
    <definedName name="HTML_Control" hidden="1">{"'results'!$F$1:$R$43"}</definedName>
    <definedName name="HTML_Description" hidden="1">"Provisional results by Mick Bromilow"</definedName>
    <definedName name="HTML_Email" hidden="1">""</definedName>
    <definedName name="HTML_Header" hidden="1">"Southern Men's League Division 3  - Hemel Hempstead - 7 July 2001"</definedName>
    <definedName name="HTML_LastUpdate" hidden="1">"10/07/01"</definedName>
    <definedName name="HTML_LineAfter" hidden="1">TRUE</definedName>
    <definedName name="HTML_LineBefore" hidden="1">TRUE</definedName>
    <definedName name="HTML_Name" hidden="1">"Mick Bromilow"</definedName>
    <definedName name="HTML_OBDlg2" hidden="1">TRUE</definedName>
    <definedName name="HTML_OBDlg4" hidden="1">TRUE</definedName>
    <definedName name="HTML_OS" hidden="1">0</definedName>
    <definedName name="HTML_PathFile" hidden="1">"\\Pcma183\webdocs\Staff\tmb3\MKAC\01sml4a.htm"</definedName>
    <definedName name="HTML_Title" hidden="1">"Southern Men's League Division 3"</definedName>
    <definedName name="M100m">'Dec'!$B$361:$J$365</definedName>
    <definedName name="M110mH">'Dec'!$B$366:$J$370</definedName>
    <definedName name="M1500m">'Dec'!$B$371:$J$375</definedName>
    <definedName name="M2000mSc">'Dec'!$B$386:$J$390</definedName>
    <definedName name="M200m">'Dec'!$B$376:$J$380</definedName>
    <definedName name="M400m">'Dec'!$B$391:$J$395</definedName>
    <definedName name="M400mH">'Dec'!$B$396:$J$400</definedName>
    <definedName name="M4x100m">'Dec'!$B$401:$J$405</definedName>
    <definedName name="M4x400m">'Dec'!$B$406:$J$410</definedName>
    <definedName name="M5000m">'Dec'!$B$381:$J$385</definedName>
    <definedName name="M800m">'Dec'!$B$411:$J$415</definedName>
    <definedName name="Match">'Dec'!$A$187:$L$290</definedName>
    <definedName name="matchno">'Dec'!$A$187:$A$290</definedName>
    <definedName name="MDiscus">'Dec'!$B$416:$J$420</definedName>
    <definedName name="Mencat">'Dec'!$A$336:$A$344</definedName>
    <definedName name="MHammer">'Dec'!$B$421:$J$425</definedName>
    <definedName name="MHigh_Jump">'Dec'!$B$426:$J$430</definedName>
    <definedName name="MJavelin">'Dec'!$B$431:$J$435</definedName>
    <definedName name="MLong_Jump">'Dec'!$B$436:$J$440</definedName>
    <definedName name="MPole_Vault">'Dec'!$B$441:$J$445</definedName>
    <definedName name="MSA">'Dec'!$A$11:$I$29</definedName>
    <definedName name="MSB">'Dec'!$A$31:$I$47</definedName>
    <definedName name="MShot">'Dec'!$B$446:$J$450</definedName>
    <definedName name="MTriple_Jump">'Dec'!$B$451:$J$455</definedName>
    <definedName name="_xlnm.Print_Area" localSheetId="1">'Results'!$B$2:$J$367</definedName>
    <definedName name="Teams">'Dec'!$A$5:$G$8</definedName>
    <definedName name="W100m">'Dec'!$M$361:$U$365</definedName>
    <definedName name="W100mH">'Dec'!$M$366:$U$370</definedName>
    <definedName name="W1500m">'Dec'!$M$371:$U$375</definedName>
    <definedName name="W1500mSc">'Dec'!$M$376:$U$380</definedName>
    <definedName name="W200m">'Dec'!$M$381:$U$385</definedName>
    <definedName name="W3000m">'Dec'!$M$386:$U$390</definedName>
    <definedName name="W400m">'Dec'!$M$391:$U$395</definedName>
    <definedName name="W400mH">'Dec'!$M$396:$U$400</definedName>
    <definedName name="W4x100m">'Dec'!$M$401:$U$405</definedName>
    <definedName name="W4x400m">'Dec'!$M$406:$U$410</definedName>
    <definedName name="W800m">'Dec'!$M$411:$U$415</definedName>
    <definedName name="Wage">'Dec'!$A$346:$B$355</definedName>
    <definedName name="WAWstandards">'Dec'!$A$315:$M$334</definedName>
    <definedName name="WDiscus">'Dec'!$M$416:$U$420</definedName>
    <definedName name="WEvent">'Dec'!$A$315:$A$334</definedName>
    <definedName name="WHammer">'Dec'!$M$421:$U$425</definedName>
    <definedName name="WHigh_Jump">'Dec'!$M$426:$U$430</definedName>
    <definedName name="WJavelin">'Dec'!$M$431:$U$435</definedName>
    <definedName name="WLong_Jump">'Dec'!$M$436:$U$440</definedName>
    <definedName name="Womcat">'Dec'!$A$346:$A$355</definedName>
    <definedName name="WPole_Vault">'Dec'!$M$441:$U$445</definedName>
    <definedName name="WSA">'Dec'!$A$50:$I$68</definedName>
    <definedName name="WSB">'Dec'!$A$70:$I$86</definedName>
    <definedName name="WShot">'Dec'!$M$446:$U$450</definedName>
    <definedName name="WTriple_Jump">'Dec'!$M$451:$U$455</definedName>
  </definedNames>
  <calcPr fullCalcOnLoad="1"/>
</workbook>
</file>

<file path=xl/comments1.xml><?xml version="1.0" encoding="utf-8"?>
<comments xmlns="http://schemas.openxmlformats.org/spreadsheetml/2006/main">
  <authors>
    <author>Mick Bromilow</author>
  </authors>
  <commentList>
    <comment ref="B1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The first digit is the division (1: Division 1; 2: Division 2N; 3: Division 2S; 4: Division 3N; 5 Division 3S), the second is the round, and the third is the match in that round. See rows 182 to 285 below to see the list of matches.</t>
        </r>
      </text>
    </comment>
    <comment ref="E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E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</commentList>
</comments>
</file>

<file path=xl/comments2.xml><?xml version="1.0" encoding="utf-8"?>
<comments xmlns="http://schemas.openxmlformats.org/spreadsheetml/2006/main">
  <authors>
    <author>tmb3</author>
  </authors>
  <commentList>
    <comment ref="E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6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7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3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4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5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5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6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18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H1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3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8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9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9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0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2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3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3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E24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5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29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0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0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1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36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</commentList>
</comments>
</file>

<file path=xl/comments7.xml><?xml version="1.0" encoding="utf-8"?>
<comments xmlns="http://schemas.openxmlformats.org/spreadsheetml/2006/main">
  <authors>
    <author>tmb3</author>
  </authors>
  <commentList>
    <comment ref="G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+2.1 and -0.3</t>
        </r>
      </text>
    </comment>
    <comment ref="G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+2.1 and -0.3</t>
        </r>
      </text>
    </comment>
    <comment ref="D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 and so on</t>
        </r>
      </text>
    </comment>
    <comment ref="D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SW, W35, W40 and so on</t>
        </r>
      </text>
    </comment>
    <comment ref="A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Each nonscoring competitor needs an entry in this row</t>
        </r>
      </text>
    </comment>
    <comment ref="A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Each nonscoring competitor needs an entry in this row</t>
        </r>
      </text>
    </comment>
  </commentList>
</comments>
</file>

<file path=xl/sharedStrings.xml><?xml version="1.0" encoding="utf-8"?>
<sst xmlns="http://schemas.openxmlformats.org/spreadsheetml/2006/main" count="4384" uniqueCount="1079">
  <si>
    <t>7:01.4</t>
  </si>
  <si>
    <t>39.82</t>
  </si>
  <si>
    <t>34.84</t>
  </si>
  <si>
    <t>22.45</t>
  </si>
  <si>
    <t>16.77</t>
  </si>
  <si>
    <t>31.34</t>
  </si>
  <si>
    <t>22.24</t>
  </si>
  <si>
    <t>14.46</t>
  </si>
  <si>
    <t>11.58</t>
  </si>
  <si>
    <t>45.0</t>
  </si>
  <si>
    <t>47.4</t>
  </si>
  <si>
    <t>48.7</t>
  </si>
  <si>
    <t>52.6</t>
  </si>
  <si>
    <t>53.5</t>
  </si>
  <si>
    <t>59.4</t>
  </si>
  <si>
    <t>4.10</t>
  </si>
  <si>
    <t>2.60</t>
  </si>
  <si>
    <t>12.11</t>
  </si>
  <si>
    <t>11.73</t>
  </si>
  <si>
    <t>11.28</t>
  </si>
  <si>
    <t>11.23</t>
  </si>
  <si>
    <t>11.79</t>
  </si>
  <si>
    <t>10.55</t>
  </si>
  <si>
    <t>9.72</t>
  </si>
  <si>
    <t>1.55</t>
  </si>
  <si>
    <t>1.35</t>
  </si>
  <si>
    <t>1.20</t>
  </si>
  <si>
    <t>5:51.1</t>
  </si>
  <si>
    <t>6:04.5</t>
  </si>
  <si>
    <t>7:16.9</t>
  </si>
  <si>
    <t>6:55.2</t>
  </si>
  <si>
    <t>4:20.9</t>
  </si>
  <si>
    <t>4:28.9</t>
  </si>
  <si>
    <t>4:39.5</t>
  </si>
  <si>
    <t>4:51.7</t>
  </si>
  <si>
    <t>39.23</t>
  </si>
  <si>
    <t>33.32</t>
  </si>
  <si>
    <t>32.69</t>
  </si>
  <si>
    <t>23.47</t>
  </si>
  <si>
    <t>26.64</t>
  </si>
  <si>
    <t>21.38</t>
  </si>
  <si>
    <t>19.03</t>
  </si>
  <si>
    <t>18.15</t>
  </si>
  <si>
    <t>3:31.4</t>
  </si>
  <si>
    <t>3:40.8</t>
  </si>
  <si>
    <t>3:53.8</t>
  </si>
  <si>
    <t>4:00.0</t>
  </si>
  <si>
    <t>Katie hartgrove</t>
  </si>
  <si>
    <t>Don Turner</t>
  </si>
  <si>
    <t>Jan Edwards</t>
  </si>
  <si>
    <t>Aleyda Mallyon</t>
  </si>
  <si>
    <t>David Clarke</t>
  </si>
  <si>
    <t>Liz Sissons</t>
  </si>
  <si>
    <t>Peter impett</t>
  </si>
  <si>
    <t>Lorraine Winton</t>
  </si>
  <si>
    <t>Karl Jenner</t>
  </si>
  <si>
    <t>Gillian Charlton</t>
  </si>
  <si>
    <t>Mel</t>
  </si>
  <si>
    <t>Terry Notman</t>
  </si>
  <si>
    <t>5:57.5</t>
  </si>
  <si>
    <t>Julia Machin</t>
  </si>
  <si>
    <t>M70</t>
  </si>
  <si>
    <t>Charmaine Johnson</t>
  </si>
  <si>
    <t>DQ</t>
  </si>
  <si>
    <t>3.91</t>
  </si>
  <si>
    <t>3.64</t>
  </si>
  <si>
    <t>3.53</t>
  </si>
  <si>
    <t>2:01.6</t>
  </si>
  <si>
    <t>2:03.8</t>
  </si>
  <si>
    <t>2:05.8</t>
  </si>
  <si>
    <t>2:10.2</t>
  </si>
  <si>
    <t>2:04.7</t>
  </si>
  <si>
    <t>2:05.4</t>
  </si>
  <si>
    <t>2:12.9</t>
  </si>
  <si>
    <t>2:25.2</t>
  </si>
  <si>
    <t>2:13.7</t>
  </si>
  <si>
    <t>2:09.1</t>
  </si>
  <si>
    <t>7</t>
  </si>
  <si>
    <t>2:05.6</t>
  </si>
  <si>
    <t>5</t>
  </si>
  <si>
    <t>11</t>
  </si>
  <si>
    <t>14.7</t>
  </si>
  <si>
    <t>14.1</t>
  </si>
  <si>
    <t>14.6</t>
  </si>
  <si>
    <t>15.1</t>
  </si>
  <si>
    <t>15.6</t>
  </si>
  <si>
    <t>43.52</t>
  </si>
  <si>
    <t>35.02</t>
  </si>
  <si>
    <t>25.97</t>
  </si>
  <si>
    <t>16.62</t>
  </si>
  <si>
    <t>28.97</t>
  </si>
  <si>
    <t>25.28</t>
  </si>
  <si>
    <t>23.99</t>
  </si>
  <si>
    <t>11.3</t>
  </si>
  <si>
    <t>11.6</t>
  </si>
  <si>
    <t>12.4</t>
  </si>
  <si>
    <t>12.6</t>
  </si>
  <si>
    <t>13.1</t>
  </si>
  <si>
    <t>13.6</t>
  </si>
  <si>
    <t>12.5</t>
  </si>
  <si>
    <t>Fraser Cobb</t>
  </si>
  <si>
    <t>12.9</t>
  </si>
  <si>
    <t>Peter Impett</t>
  </si>
  <si>
    <t>15.7</t>
  </si>
  <si>
    <t>Chatlotte Mason</t>
  </si>
  <si>
    <t>Morgan Morrison</t>
  </si>
  <si>
    <t>2.08</t>
  </si>
  <si>
    <t>1.95</t>
  </si>
  <si>
    <t>1.80</t>
  </si>
  <si>
    <t>1.75</t>
  </si>
  <si>
    <t>58.8</t>
  </si>
  <si>
    <t>60.6</t>
  </si>
  <si>
    <t>63.5</t>
  </si>
  <si>
    <t>69.2</t>
  </si>
  <si>
    <t>63.1</t>
  </si>
  <si>
    <t>65.2</t>
  </si>
  <si>
    <t>67.1</t>
  </si>
  <si>
    <t>12.62</t>
  </si>
  <si>
    <t>10.62</t>
  </si>
  <si>
    <t>9.15</t>
  </si>
  <si>
    <t>8.06</t>
  </si>
  <si>
    <t>10.47</t>
  </si>
  <si>
    <t>9.51</t>
  </si>
  <si>
    <t>6.59</t>
  </si>
  <si>
    <t>6.33</t>
  </si>
  <si>
    <t>52.2</t>
  </si>
  <si>
    <t>53.3</t>
  </si>
  <si>
    <t>55.3</t>
  </si>
  <si>
    <t>84.4</t>
  </si>
  <si>
    <t>55.2</t>
  </si>
  <si>
    <t>55.7</t>
  </si>
  <si>
    <t>73.9</t>
  </si>
  <si>
    <t>69.0</t>
  </si>
  <si>
    <t>60.25</t>
  </si>
  <si>
    <t>47.11</t>
  </si>
  <si>
    <t>40.30</t>
  </si>
  <si>
    <t>19.16</t>
  </si>
  <si>
    <t>22.16</t>
  </si>
  <si>
    <t>20.09</t>
  </si>
  <si>
    <t>16.70</t>
  </si>
  <si>
    <t>15.26</t>
  </si>
  <si>
    <t>EE</t>
  </si>
  <si>
    <t>10:53.3</t>
  </si>
  <si>
    <t>11:57.3</t>
  </si>
  <si>
    <t>13:23.6</t>
  </si>
  <si>
    <t>12:07.5</t>
  </si>
  <si>
    <t>13:59.0</t>
  </si>
  <si>
    <t>15.3</t>
  </si>
  <si>
    <t>17.6</t>
  </si>
  <si>
    <t>18.7</t>
  </si>
  <si>
    <t>18.9</t>
  </si>
  <si>
    <t>23.3</t>
  </si>
  <si>
    <t>7.14</t>
  </si>
  <si>
    <t>6.43</t>
  </si>
  <si>
    <t>6.21</t>
  </si>
  <si>
    <t>5.76</t>
  </si>
  <si>
    <t>4.98</t>
  </si>
  <si>
    <t>4.96</t>
  </si>
  <si>
    <t>4.54</t>
  </si>
  <si>
    <t>40.82</t>
  </si>
  <si>
    <t>31.09</t>
  </si>
  <si>
    <t>23.45</t>
  </si>
  <si>
    <t>20.90</t>
  </si>
  <si>
    <t>29.69</t>
  </si>
  <si>
    <t>29.65</t>
  </si>
  <si>
    <t>19.09</t>
  </si>
  <si>
    <t>11.13</t>
  </si>
  <si>
    <t>15:15.6</t>
  </si>
  <si>
    <t>16:06.7</t>
  </si>
  <si>
    <t>17:22.5</t>
  </si>
  <si>
    <t>16:57.3</t>
  </si>
  <si>
    <t>17:30.8</t>
  </si>
  <si>
    <t>18:14.3</t>
  </si>
  <si>
    <t>9</t>
  </si>
  <si>
    <t>18.5</t>
  </si>
  <si>
    <t>19.1</t>
  </si>
  <si>
    <t>20.5</t>
  </si>
  <si>
    <t>15.9</t>
  </si>
  <si>
    <t>24.2</t>
  </si>
  <si>
    <t>26.5</t>
  </si>
  <si>
    <t>23.9</t>
  </si>
  <si>
    <t>24.0</t>
  </si>
  <si>
    <t>24.1</t>
  </si>
  <si>
    <t>25.8</t>
  </si>
  <si>
    <t>25.6</t>
  </si>
  <si>
    <t>32.1</t>
  </si>
  <si>
    <t>6</t>
  </si>
  <si>
    <t>26.9</t>
  </si>
  <si>
    <t>29.9</t>
  </si>
  <si>
    <t>30.2</t>
  </si>
  <si>
    <t>28.7</t>
  </si>
  <si>
    <t>31.3</t>
  </si>
  <si>
    <t>30.9</t>
  </si>
  <si>
    <t>3</t>
  </si>
  <si>
    <t>51.79</t>
  </si>
  <si>
    <t>46.29</t>
  </si>
  <si>
    <t>37.83</t>
  </si>
  <si>
    <t>29.67</t>
  </si>
  <si>
    <t>42.46</t>
  </si>
  <si>
    <t>36.04</t>
  </si>
  <si>
    <t>33.98</t>
  </si>
  <si>
    <t>37.38</t>
  </si>
  <si>
    <t>4:50.5</t>
  </si>
  <si>
    <t>5:04.6</t>
  </si>
  <si>
    <t>5:08.5</t>
  </si>
  <si>
    <t>6:31.8</t>
  </si>
  <si>
    <t>5:23.5</t>
  </si>
  <si>
    <t>5:24.1</t>
  </si>
  <si>
    <t>5:37.1</t>
  </si>
  <si>
    <t>7:41.4</t>
  </si>
  <si>
    <t>6:34.6</t>
  </si>
  <si>
    <t>8</t>
  </si>
  <si>
    <t>4:13.9</t>
  </si>
  <si>
    <t>4:39.0</t>
  </si>
  <si>
    <t>4:50.7</t>
  </si>
  <si>
    <t>6:48.1</t>
  </si>
  <si>
    <t>4:35.7</t>
  </si>
  <si>
    <t>4:49.7</t>
  </si>
  <si>
    <t>4:56.6</t>
  </si>
  <si>
    <t>4:46.7</t>
  </si>
  <si>
    <t>10.38</t>
  </si>
  <si>
    <t>9.58</t>
  </si>
  <si>
    <t>8.90</t>
  </si>
  <si>
    <t>9.46</t>
  </si>
  <si>
    <t>8.12</t>
  </si>
  <si>
    <t>8.09</t>
  </si>
  <si>
    <t>9.16</t>
  </si>
  <si>
    <t>6:44.9</t>
  </si>
  <si>
    <t>6:45.5</t>
  </si>
  <si>
    <t>7:07.2</t>
  </si>
  <si>
    <t>7:30.6</t>
  </si>
  <si>
    <t>7:03.4</t>
  </si>
  <si>
    <t>7:43.6</t>
  </si>
  <si>
    <t>7:44.6</t>
  </si>
  <si>
    <t>7:59.2</t>
  </si>
  <si>
    <t>Hanna Westhenry</t>
  </si>
  <si>
    <t>Emma Jones</t>
  </si>
  <si>
    <t xml:space="preserve">Maddy Williams </t>
  </si>
  <si>
    <t>Jess May</t>
  </si>
  <si>
    <t>Jordan Shaw</t>
  </si>
  <si>
    <t>Alex Hawkins</t>
  </si>
  <si>
    <t>Stuart Flack</t>
  </si>
  <si>
    <t>Ollie Garrod</t>
  </si>
  <si>
    <t>Martin Lay</t>
  </si>
  <si>
    <t>John Andrews</t>
  </si>
  <si>
    <t>Ian Frankish</t>
  </si>
  <si>
    <t>Jack Amselem</t>
  </si>
  <si>
    <t>Daniel Johnson</t>
  </si>
  <si>
    <t>Alex Gurteen</t>
  </si>
  <si>
    <t>Mark Alden</t>
  </si>
  <si>
    <t>Brian Harlick</t>
  </si>
  <si>
    <t>Alex Potts</t>
  </si>
  <si>
    <t>Diana Norman</t>
  </si>
  <si>
    <t>Diana Norman</t>
  </si>
  <si>
    <t>Emily Alden</t>
  </si>
  <si>
    <t>Lizzie Thompson</t>
  </si>
  <si>
    <t>Julia Machin</t>
  </si>
  <si>
    <t>Wendy Dunsford</t>
  </si>
  <si>
    <t>Wendy Dunsford</t>
  </si>
  <si>
    <t>Diana Norman</t>
  </si>
  <si>
    <t>Tamar Rennles</t>
  </si>
  <si>
    <t>Eloise Robini</t>
  </si>
  <si>
    <t>Katie Garrod</t>
  </si>
  <si>
    <t>Charlotte Mason</t>
  </si>
  <si>
    <t>Katie Garrod</t>
  </si>
  <si>
    <t>Jordyn Robinson</t>
  </si>
  <si>
    <t>John Jackson</t>
  </si>
  <si>
    <t>Mark Omerod</t>
  </si>
  <si>
    <t>Duncan Ralph</t>
  </si>
  <si>
    <t>Ben Murphy</t>
  </si>
  <si>
    <t>Archie Cannon</t>
  </si>
  <si>
    <t>March Roach</t>
  </si>
  <si>
    <t>Gareth George</t>
  </si>
  <si>
    <t>Daniel Johnson</t>
  </si>
  <si>
    <t>Charmaine Johnson</t>
  </si>
  <si>
    <t>Wendy Dunsford</t>
  </si>
  <si>
    <t>George Grainger</t>
  </si>
  <si>
    <t>Owen Wyeth</t>
  </si>
  <si>
    <t xml:space="preserve">Tim Kimber </t>
  </si>
  <si>
    <t>Richard Reeks</t>
  </si>
  <si>
    <t xml:space="preserve">Rob Creed </t>
  </si>
  <si>
    <t xml:space="preserve">Leigh Walker </t>
  </si>
  <si>
    <t xml:space="preserve">Jamie Moore </t>
  </si>
  <si>
    <t xml:space="preserve">Matt Lasis </t>
  </si>
  <si>
    <t xml:space="preserve">Ben Golding </t>
  </si>
  <si>
    <t xml:space="preserve">Robbie Creed </t>
  </si>
  <si>
    <t xml:space="preserve">Tim Ellis </t>
  </si>
  <si>
    <t xml:space="preserve">George Grainger </t>
  </si>
  <si>
    <t>Sam Cunningham</t>
  </si>
  <si>
    <t xml:space="preserve">David Freeman </t>
  </si>
  <si>
    <t xml:space="preserve">Rob Allan </t>
  </si>
  <si>
    <t xml:space="preserve">Dan Hamilton </t>
  </si>
  <si>
    <t>Taiye Musa</t>
  </si>
  <si>
    <t>Paige Clark</t>
  </si>
  <si>
    <t>Olivia Dowie</t>
  </si>
  <si>
    <t>Rebecca Healey</t>
  </si>
  <si>
    <t>Jo Rowland</t>
  </si>
  <si>
    <t>Rebecca Baines</t>
  </si>
  <si>
    <t>Becy Owen</t>
  </si>
  <si>
    <t>Libby Moody</t>
  </si>
  <si>
    <t>Alina Cheeseman</t>
  </si>
  <si>
    <t>Sophie Dowle</t>
  </si>
  <si>
    <t>Becky Owen</t>
  </si>
  <si>
    <t xml:space="preserve">Karen Shackel </t>
  </si>
  <si>
    <t>Jackson Moffatt</t>
  </si>
  <si>
    <t>Rose Hairs</t>
  </si>
  <si>
    <t>Emily Alden</t>
  </si>
  <si>
    <t>Glyn Davies</t>
  </si>
  <si>
    <t>Bobbie-louise Gannon</t>
  </si>
  <si>
    <t>Rob Allan</t>
  </si>
  <si>
    <t>Chris Pratt</t>
  </si>
  <si>
    <t>Tapiwanashe Mupfupi</t>
  </si>
  <si>
    <t>e</t>
  </si>
  <si>
    <t>ee</t>
  </si>
  <si>
    <t xml:space="preserve">t </t>
  </si>
  <si>
    <t>y</t>
  </si>
  <si>
    <t>67.6</t>
  </si>
  <si>
    <t>79.3</t>
  </si>
  <si>
    <t>90.0</t>
  </si>
  <si>
    <t>72.9</t>
  </si>
  <si>
    <t>r</t>
  </si>
  <si>
    <t>yy</t>
  </si>
  <si>
    <t>tt</t>
  </si>
  <si>
    <t>56.8</t>
  </si>
  <si>
    <t>60.3</t>
  </si>
  <si>
    <t>65.6</t>
  </si>
  <si>
    <t>75.2</t>
  </si>
  <si>
    <t>t</t>
  </si>
  <si>
    <t>rr</t>
  </si>
  <si>
    <t>12.71</t>
  </si>
  <si>
    <t>12.38</t>
  </si>
  <si>
    <t>9.74</t>
  </si>
  <si>
    <t>8.33</t>
  </si>
  <si>
    <t>10.10</t>
  </si>
  <si>
    <t>9.48</t>
  </si>
  <si>
    <t>7.99</t>
  </si>
  <si>
    <t>2:16.7</t>
  </si>
  <si>
    <t>Alex Hookway</t>
  </si>
  <si>
    <t>2:19.3</t>
  </si>
  <si>
    <t>2:27.6</t>
  </si>
  <si>
    <t>2:28.7</t>
  </si>
  <si>
    <t>2:29.0</t>
  </si>
  <si>
    <t>2:42.4</t>
  </si>
  <si>
    <t>3:03.1</t>
  </si>
  <si>
    <t>5.13</t>
  </si>
  <si>
    <t>4.86</t>
  </si>
  <si>
    <t>3.71</t>
  </si>
  <si>
    <t>4.83</t>
  </si>
  <si>
    <t>Yeovil Olympiads</t>
  </si>
  <si>
    <t>Bournemouth</t>
  </si>
  <si>
    <t> Bracknell</t>
  </si>
  <si>
    <t>Aldershot, Farnham &amp; District</t>
  </si>
  <si>
    <t> Eastbourne</t>
  </si>
  <si>
    <t>Horsham Blue Star Harriers</t>
  </si>
  <si>
    <t>Medway Park Phoenix</t>
  </si>
  <si>
    <t> Hastings</t>
  </si>
  <si>
    <t> Aldershot</t>
  </si>
  <si>
    <t> Portsmouth</t>
  </si>
  <si>
    <t> Winchester</t>
  </si>
  <si>
    <t> Salisbury</t>
  </si>
  <si>
    <t> Braunton</t>
  </si>
  <si>
    <t> Lewes</t>
  </si>
  <si>
    <t> Carshalton</t>
  </si>
  <si>
    <t> Horsham</t>
  </si>
  <si>
    <t> Bournemouth</t>
  </si>
  <si>
    <t> Yeovil</t>
  </si>
  <si>
    <t>The opening height will be the minimum height requested or available with the equipment; the second height will be 1.20m.
Increments will be 10cm until 3 competitors remain.</t>
  </si>
  <si>
    <t>The opening height will be the minimum height requested or available with the equipment; the second height will be 1.20m.
Increments will be 5cm until just 3 competitors remain.</t>
  </si>
  <si>
    <t>The opening height will be the minimum requested or available with the equipment; the second height will be 1.40m.
Increments will be 20cm until just 3 competitors remain.</t>
  </si>
  <si>
    <t>The opening height will be the minimum requested or available with the equipment; the second height will be 1.00m.
Increments will be 5cm until just 3 competitors remain.</t>
  </si>
  <si>
    <t>Harrow</t>
  </si>
  <si>
    <t>Havering AC</t>
  </si>
  <si>
    <t>Ed Hall</t>
  </si>
  <si>
    <t>Henry Marshall</t>
  </si>
  <si>
    <t>Tom Cox</t>
  </si>
  <si>
    <t>Cameron Knapp</t>
  </si>
  <si>
    <t>Ben Cole</t>
  </si>
  <si>
    <t>Neil Woodfine</t>
  </si>
  <si>
    <t>Greg Cole</t>
  </si>
  <si>
    <t>Lewis Church</t>
  </si>
  <si>
    <t>Martyn Ormerod</t>
  </si>
  <si>
    <t>Zac Cannon</t>
  </si>
  <si>
    <t>Steven Tester</t>
  </si>
  <si>
    <t>Dan Bradley</t>
  </si>
  <si>
    <t>Harry Paton</t>
  </si>
  <si>
    <t>Aaron Waterman</t>
  </si>
  <si>
    <t>Michael Ellis</t>
  </si>
  <si>
    <t>Harry Kendal</t>
  </si>
  <si>
    <t>Michael Mason</t>
  </si>
  <si>
    <t>Joanne Ware</t>
  </si>
  <si>
    <t>Jessica Murphy</t>
  </si>
  <si>
    <t>Hannah Czarnowski</t>
  </si>
  <si>
    <t>Alice Ralph</t>
  </si>
  <si>
    <t>Emily Hale</t>
  </si>
  <si>
    <t>Laura Baliman</t>
  </si>
  <si>
    <t>Eleanor Ribbits</t>
  </si>
  <si>
    <t>Chelsey Eyers</t>
  </si>
  <si>
    <t>Polly Pitcairn-Knowles</t>
  </si>
  <si>
    <t>Jayne Mallyon</t>
  </si>
  <si>
    <t>Rachel Laqeretabua</t>
  </si>
  <si>
    <t>Nicola Dobra</t>
  </si>
  <si>
    <t>Jack Rees</t>
  </si>
  <si>
    <t>David Pearson</t>
  </si>
  <si>
    <t>Ashley Parker</t>
  </si>
  <si>
    <t>Tom Freeman</t>
  </si>
  <si>
    <t>Andrew Dumbrell</t>
  </si>
  <si>
    <t>Jack Roach</t>
  </si>
  <si>
    <t>Jack Snook</t>
  </si>
  <si>
    <t>Liam Winton</t>
  </si>
  <si>
    <t>Alistair Tuck</t>
  </si>
  <si>
    <t>Piers Copeland</t>
  </si>
  <si>
    <t>Aiden Turner</t>
  </si>
  <si>
    <t>Richard Wheeler</t>
  </si>
  <si>
    <t>Bobbie-louise-Gannon</t>
  </si>
  <si>
    <t>Aiste Razmaite</t>
  </si>
  <si>
    <t>Lizzie Hood</t>
  </si>
  <si>
    <t>Sarah Orr</t>
  </si>
  <si>
    <t>Charlotte Offer</t>
  </si>
  <si>
    <t>Trudi Carter</t>
  </si>
  <si>
    <t>Colchester Harriers</t>
  </si>
  <si>
    <t>Watford</t>
  </si>
  <si>
    <t>Loughton</t>
  </si>
  <si>
    <t>Colchester &amp; Tendring</t>
  </si>
  <si>
    <t>St Albans</t>
  </si>
  <si>
    <t>Colchester</t>
  </si>
  <si>
    <t>St Ives</t>
  </si>
  <si>
    <t>Holland Sports</t>
  </si>
  <si>
    <t>East Grinstead</t>
  </si>
  <si>
    <t>Hastings</t>
  </si>
  <si>
    <t>Invicta East Kent</t>
  </si>
  <si>
    <t>Brighton &amp; Hove</t>
  </si>
  <si>
    <t>St Mary's Richmond</t>
  </si>
  <si>
    <t>Kingston &amp; Polytechnic Harriers</t>
  </si>
  <si>
    <t>Epsom &amp; Ewell</t>
  </si>
  <si>
    <t>Brighton</t>
  </si>
  <si>
    <t>Kingston</t>
  </si>
  <si>
    <t>Dacorum &amp; Tring</t>
  </si>
  <si>
    <t>Highgate Harriers</t>
  </si>
  <si>
    <t>Radley</t>
  </si>
  <si>
    <t>Sutton &amp; District</t>
  </si>
  <si>
    <t>Woking</t>
  </si>
  <si>
    <t>Thames Valley Harriers</t>
  </si>
  <si>
    <t>City of Portsmouth</t>
  </si>
  <si>
    <t>Havant</t>
  </si>
  <si>
    <t>Team Kennet</t>
  </si>
  <si>
    <t>North Devon</t>
  </si>
  <si>
    <t>Poole</t>
  </si>
  <si>
    <t>Basingstoke</t>
  </si>
  <si>
    <t>I</t>
  </si>
  <si>
    <t>K</t>
  </si>
  <si>
    <t>U</t>
  </si>
  <si>
    <t>a</t>
  </si>
  <si>
    <t>b</t>
  </si>
  <si>
    <t>c</t>
  </si>
  <si>
    <t>3/5000m</t>
  </si>
  <si>
    <t>2/3000mSc</t>
  </si>
  <si>
    <t>15/2000mSc</t>
  </si>
  <si>
    <t>2000ScA</t>
  </si>
  <si>
    <t>2000ScB</t>
  </si>
  <si>
    <t>Man of the Match Awards</t>
  </si>
  <si>
    <t>Abingdon</t>
  </si>
  <si>
    <t>Basingstoke &amp; Mid Hants</t>
  </si>
  <si>
    <t>Wycombe Phoenix Harriers</t>
  </si>
  <si>
    <t>Team Dorset</t>
  </si>
  <si>
    <t>Braintree &amp; District</t>
  </si>
  <si>
    <t>Dartford Harriers</t>
  </si>
  <si>
    <t>Ealing, Southall &amp; Middlesex</t>
  </si>
  <si>
    <t>Orion Harriers</t>
  </si>
  <si>
    <t>Watford Harriers</t>
  </si>
  <si>
    <t>Woodford Green with Essex Ladies</t>
  </si>
  <si>
    <t>Belgrave Harriers</t>
  </si>
  <si>
    <t>Bexley</t>
  </si>
  <si>
    <t>Bracknell</t>
  </si>
  <si>
    <t>Crawley</t>
  </si>
  <si>
    <t>Lewes/Haywards Heath</t>
  </si>
  <si>
    <t>Newbury</t>
  </si>
  <si>
    <t>Poole Runners</t>
  </si>
  <si>
    <t>Y</t>
  </si>
  <si>
    <t>Divn Tag</t>
  </si>
  <si>
    <t>2 North</t>
  </si>
  <si>
    <t>2 South</t>
  </si>
  <si>
    <t>3 North</t>
  </si>
  <si>
    <t>3 South</t>
  </si>
  <si>
    <t>Hornchurch</t>
  </si>
  <si>
    <t>North</t>
  </si>
  <si>
    <t>South</t>
  </si>
  <si>
    <t>Twickenham</t>
  </si>
  <si>
    <t>Division 3</t>
  </si>
  <si>
    <t>Dartford</t>
  </si>
  <si>
    <t>Braintree</t>
  </si>
  <si>
    <t>Battersea</t>
  </si>
  <si>
    <t>Kings Lynn</t>
  </si>
  <si>
    <t>Uxbridge</t>
  </si>
  <si>
    <t>Division 3 matches must use SALresultsd3.xls for their results</t>
  </si>
  <si>
    <t>Time: 1:15</t>
  </si>
  <si>
    <t>Time: 3:45</t>
  </si>
  <si>
    <t>19 April 2014</t>
  </si>
  <si>
    <t>17 May 2014</t>
  </si>
  <si>
    <t>22 June 2014</t>
  </si>
  <si>
    <t>21 June 2014</t>
  </si>
  <si>
    <t>12 July 2014</t>
  </si>
  <si>
    <t>2 August 2014</t>
  </si>
  <si>
    <t> Oxford</t>
  </si>
  <si>
    <t>Oxford City AC</t>
  </si>
  <si>
    <t> Milton Keynes</t>
  </si>
  <si>
    <t> Perivale</t>
  </si>
  <si>
    <t> Ipswich</t>
  </si>
  <si>
    <t> Hemel Hempstead</t>
  </si>
  <si>
    <t> Harrow</t>
  </si>
  <si>
    <t> Ware</t>
  </si>
  <si>
    <t> Parliament Hill</t>
  </si>
  <si>
    <t> St Albans</t>
  </si>
  <si>
    <t> West London</t>
  </si>
  <si>
    <t> Newham</t>
  </si>
  <si>
    <t> Luton</t>
  </si>
  <si>
    <t> Peterborough</t>
  </si>
  <si>
    <t>West Norfolk</t>
  </si>
  <si>
    <t>Barnet &amp; District/Shaftesbury Barnet Harriers</t>
  </si>
  <si>
    <t>Thurrock</t>
  </si>
  <si>
    <t>West Suffolk/Diss</t>
  </si>
  <si>
    <t>10 May 2014</t>
  </si>
  <si>
    <t>Allianz Park</t>
  </si>
  <si>
    <t>Sandy</t>
  </si>
  <si>
    <t> Plymouth</t>
  </si>
  <si>
    <t>Plymouth/Erme Valley/Tavistock</t>
  </si>
  <si>
    <t>6:00.0</t>
  </si>
  <si>
    <t>6:15.0</t>
  </si>
  <si>
    <t>6:40.0</t>
  </si>
  <si>
    <t>11:45.0</t>
  </si>
  <si>
    <t>11:30.0</t>
  </si>
  <si>
    <t>11:40.0</t>
  </si>
  <si>
    <t>12:15.0</t>
  </si>
  <si>
    <t>12:45.0</t>
  </si>
  <si>
    <t>13:30.0</t>
  </si>
  <si>
    <t>14:15.0</t>
  </si>
  <si>
    <t>80.0</t>
  </si>
  <si>
    <t>85.0</t>
  </si>
  <si>
    <t>2.30</t>
  </si>
  <si>
    <t>2.00</t>
  </si>
  <si>
    <t>1.85</t>
  </si>
  <si>
    <t>1.71</t>
  </si>
  <si>
    <t>1.60</t>
  </si>
  <si>
    <t>1.50</t>
  </si>
  <si>
    <t>1.40</t>
  </si>
  <si>
    <t>1.45</t>
  </si>
  <si>
    <t>1.31</t>
  </si>
  <si>
    <t>1.25</t>
  </si>
  <si>
    <t>1.17</t>
  </si>
  <si>
    <t>1.10</t>
  </si>
  <si>
    <t>1.03</t>
  </si>
  <si>
    <t>4.60</t>
  </si>
  <si>
    <t>4.65</t>
  </si>
  <si>
    <t>4.75</t>
  </si>
  <si>
    <t>4.20</t>
  </si>
  <si>
    <t>3.90</t>
  </si>
  <si>
    <t>3.60</t>
  </si>
  <si>
    <t>3.40</t>
  </si>
  <si>
    <t>3.15</t>
  </si>
  <si>
    <t>9.25</t>
  </si>
  <si>
    <t>8.70</t>
  </si>
  <si>
    <t>8.00</t>
  </si>
  <si>
    <t>7.50</t>
  </si>
  <si>
    <t>6.75</t>
  </si>
  <si>
    <t>6.30</t>
  </si>
  <si>
    <t>7.25</t>
  </si>
  <si>
    <t>7.60</t>
  </si>
  <si>
    <t>8.30</t>
  </si>
  <si>
    <t>7.75</t>
  </si>
  <si>
    <t>21.00</t>
  </si>
  <si>
    <t>23.00</t>
  </si>
  <si>
    <t>20.00</t>
  </si>
  <si>
    <t>18.00</t>
  </si>
  <si>
    <t>16.00</t>
  </si>
  <si>
    <t>17.00</t>
  </si>
  <si>
    <t>15.00</t>
  </si>
  <si>
    <t>19.00</t>
  </si>
  <si>
    <t>22.00</t>
  </si>
  <si>
    <t>52.0</t>
  </si>
  <si>
    <t>4:15.0</t>
  </si>
  <si>
    <t>Lane Draws/Order of Comp</t>
  </si>
  <si>
    <t>7:30.0</t>
  </si>
  <si>
    <t>9:30.0</t>
  </si>
  <si>
    <t>9:40.0</t>
  </si>
  <si>
    <t>9:45.0</t>
  </si>
  <si>
    <t>10:15.0</t>
  </si>
  <si>
    <t>10:45.0</t>
  </si>
  <si>
    <t>7:00.0</t>
  </si>
  <si>
    <t>9:00.0</t>
  </si>
  <si>
    <t>Timekeeper</t>
  </si>
  <si>
    <t>Track Judge</t>
  </si>
  <si>
    <t>Field Judge</t>
  </si>
  <si>
    <t>Fixture List</t>
  </si>
  <si>
    <t>Division 1</t>
  </si>
  <si>
    <t>Team1</t>
  </si>
  <si>
    <t>Southampton</t>
  </si>
  <si>
    <t>Walton</t>
  </si>
  <si>
    <t>Chelmsford</t>
  </si>
  <si>
    <t>Bromley</t>
  </si>
  <si>
    <t>Blackheath &amp; Bromley</t>
  </si>
  <si>
    <t>Worthing</t>
  </si>
  <si>
    <t>Tonbridge</t>
  </si>
  <si>
    <t>Marshall Milton Keynes</t>
  </si>
  <si>
    <t>Ashford</t>
  </si>
  <si>
    <t>Norwich</t>
  </si>
  <si>
    <t>Enfield &amp; Haringey</t>
  </si>
  <si>
    <t>Peterborough</t>
  </si>
  <si>
    <t>Nene Valley Harriers</t>
  </si>
  <si>
    <t>Stevenage &amp; North Herts</t>
  </si>
  <si>
    <t>Luton</t>
  </si>
  <si>
    <t>G</t>
  </si>
  <si>
    <t>L</t>
  </si>
  <si>
    <t>E</t>
  </si>
  <si>
    <t>F</t>
  </si>
  <si>
    <t>H</t>
  </si>
  <si>
    <t>M</t>
  </si>
  <si>
    <t>N</t>
  </si>
  <si>
    <t>R</t>
  </si>
  <si>
    <t>S</t>
  </si>
  <si>
    <t>T</t>
  </si>
  <si>
    <t>W</t>
  </si>
  <si>
    <t>X</t>
  </si>
  <si>
    <t>City of Norwich</t>
  </si>
  <si>
    <t>Lee Valley</t>
  </si>
  <si>
    <t>Herts Phoenix</t>
  </si>
  <si>
    <t>Stevenage</t>
  </si>
  <si>
    <t>Division 2</t>
  </si>
  <si>
    <t>Cambridge Harriers</t>
  </si>
  <si>
    <t>Croydon Harriers</t>
  </si>
  <si>
    <t>Serpentine</t>
  </si>
  <si>
    <t>Vale of Aylesbury</t>
  </si>
  <si>
    <t>Biggleswade</t>
  </si>
  <si>
    <t>Chichester</t>
  </si>
  <si>
    <t>Eastbourne Rovers</t>
  </si>
  <si>
    <t>Hillingdon</t>
  </si>
  <si>
    <t>O</t>
  </si>
  <si>
    <t>P</t>
  </si>
  <si>
    <t>V</t>
  </si>
  <si>
    <t>Z</t>
  </si>
  <si>
    <t>Clubs</t>
  </si>
  <si>
    <t>Andover</t>
  </si>
  <si>
    <t>London Heathside</t>
  </si>
  <si>
    <t>Winchester</t>
  </si>
  <si>
    <t>Swindon</t>
  </si>
  <si>
    <t>Croydon</t>
  </si>
  <si>
    <t>Salisbury</t>
  </si>
  <si>
    <t>U23</t>
  </si>
  <si>
    <t>Categories</t>
  </si>
  <si>
    <t>Eltham</t>
  </si>
  <si>
    <t>Portsmouth</t>
  </si>
  <si>
    <t>-</t>
  </si>
  <si>
    <t>2000SC</t>
  </si>
  <si>
    <t>3000SC</t>
  </si>
  <si>
    <t>1500SCW</t>
  </si>
  <si>
    <t>2000SCW</t>
  </si>
  <si>
    <t>1500mSC</t>
  </si>
  <si>
    <t>2000mSC</t>
  </si>
  <si>
    <t>3000mSC</t>
  </si>
  <si>
    <t>6:20.0</t>
  </si>
  <si>
    <t>Andover &amp; Overton</t>
  </si>
  <si>
    <t>Bedford &amp; County</t>
  </si>
  <si>
    <t>Huntingdonshire</t>
  </si>
  <si>
    <t>Cambridge</t>
  </si>
  <si>
    <t>Cambridge &amp; Coleridge</t>
  </si>
  <si>
    <t>Ryston Runners</t>
  </si>
  <si>
    <t>Ipswich</t>
  </si>
  <si>
    <t>Newham &amp; Essex Beagles</t>
  </si>
  <si>
    <t>Basildon</t>
  </si>
  <si>
    <t>Men's 200m</t>
  </si>
  <si>
    <t>Women's 1500m</t>
  </si>
  <si>
    <t>Men's 1500m</t>
  </si>
  <si>
    <t>Women's 4x100m</t>
  </si>
  <si>
    <t>Men's 4x100m</t>
  </si>
  <si>
    <t>Women's 4x400m</t>
  </si>
  <si>
    <t>Men's 4x400m</t>
  </si>
  <si>
    <t>Men's A 100m</t>
  </si>
  <si>
    <t>Men's B 100m</t>
  </si>
  <si>
    <t>Men's A 200m</t>
  </si>
  <si>
    <t>Men's B 200m</t>
  </si>
  <si>
    <t>Men's A 400m</t>
  </si>
  <si>
    <t>Men's B 400m</t>
  </si>
  <si>
    <t>Men's A 800m</t>
  </si>
  <si>
    <t>Men's B 800m</t>
  </si>
  <si>
    <t>Men's A 1500m</t>
  </si>
  <si>
    <t>Men's B 1500m</t>
  </si>
  <si>
    <t>Men's A 110mH</t>
  </si>
  <si>
    <t>Men's B 110mH</t>
  </si>
  <si>
    <t>Men's A 400mH</t>
  </si>
  <si>
    <t>Men's B 400mH</t>
  </si>
  <si>
    <t>Men's A High Jump</t>
  </si>
  <si>
    <t>Men's B High Jump</t>
  </si>
  <si>
    <t>Men's A Pole Vault</t>
  </si>
  <si>
    <t>Men's B Pole Vault</t>
  </si>
  <si>
    <t>Men's A Long Jump</t>
  </si>
  <si>
    <t>Men's B Long Jump</t>
  </si>
  <si>
    <t>Men's A Triple Jump</t>
  </si>
  <si>
    <t>Men's B Triple Jump</t>
  </si>
  <si>
    <t>Men's A Shot Putt</t>
  </si>
  <si>
    <t>Men's B Shot Putt</t>
  </si>
  <si>
    <t>Men's A Discus</t>
  </si>
  <si>
    <t>Men's B Discus</t>
  </si>
  <si>
    <t>Men's A Hammer</t>
  </si>
  <si>
    <t>Men's B Hammer</t>
  </si>
  <si>
    <t>Men's A Javelin</t>
  </si>
  <si>
    <t>Men's B Javelin</t>
  </si>
  <si>
    <t>Women's A 100m</t>
  </si>
  <si>
    <t>Women's B 100m</t>
  </si>
  <si>
    <t>Women's A 200m</t>
  </si>
  <si>
    <t>Women's B 200m</t>
  </si>
  <si>
    <t>Women's A 400m</t>
  </si>
  <si>
    <t>Women's B 400m</t>
  </si>
  <si>
    <t>Women's A 800m</t>
  </si>
  <si>
    <t>Women's B 800m</t>
  </si>
  <si>
    <t>Women's A 1500m</t>
  </si>
  <si>
    <t>Women's B 1500m</t>
  </si>
  <si>
    <t>Women's A 400mH</t>
  </si>
  <si>
    <t>Women's B 400mH</t>
  </si>
  <si>
    <t>Women's A High Jump</t>
  </si>
  <si>
    <t>Women's B High Jump</t>
  </si>
  <si>
    <t>Women's A Pole Vault</t>
  </si>
  <si>
    <t>Women's B Pole Vault</t>
  </si>
  <si>
    <t>Women's A Long Jump</t>
  </si>
  <si>
    <t>Women's B Long Jump</t>
  </si>
  <si>
    <t>Women's A Triple Jump</t>
  </si>
  <si>
    <t>Women's B Triple Jump</t>
  </si>
  <si>
    <t>Women's A Shot Putt</t>
  </si>
  <si>
    <t>Women's B Shot Putt</t>
  </si>
  <si>
    <t>Women's A Discus</t>
  </si>
  <si>
    <t>Women's B Discus</t>
  </si>
  <si>
    <t>Women's A Hammer</t>
  </si>
  <si>
    <t>Women's B Hammer</t>
  </si>
  <si>
    <t>Women's A Javelin</t>
  </si>
  <si>
    <t>Women's B Javelin</t>
  </si>
  <si>
    <t>100HA</t>
  </si>
  <si>
    <t>100HB</t>
  </si>
  <si>
    <t>Women's A 3000m</t>
  </si>
  <si>
    <t>Women's B 3000m</t>
  </si>
  <si>
    <t>3000B</t>
  </si>
  <si>
    <t>3000A</t>
  </si>
  <si>
    <t>Women's A 100mH</t>
  </si>
  <si>
    <t>Women's B 100mH</t>
  </si>
  <si>
    <t>Officials</t>
  </si>
  <si>
    <t>Total</t>
  </si>
  <si>
    <t>W35</t>
  </si>
  <si>
    <t>W40</t>
  </si>
  <si>
    <t>W45</t>
  </si>
  <si>
    <t>W50</t>
  </si>
  <si>
    <t>W55</t>
  </si>
  <si>
    <t>W60</t>
  </si>
  <si>
    <t>13.3</t>
  </si>
  <si>
    <t>13.5</t>
  </si>
  <si>
    <t>14.0</t>
  </si>
  <si>
    <t>14.5</t>
  </si>
  <si>
    <t>15.0</t>
  </si>
  <si>
    <t>16.0</t>
  </si>
  <si>
    <t>16.5</t>
  </si>
  <si>
    <t>27.5</t>
  </si>
  <si>
    <t>27.2</t>
  </si>
  <si>
    <t>31.5</t>
  </si>
  <si>
    <t>32.0</t>
  </si>
  <si>
    <t>33.0</t>
  </si>
  <si>
    <t>35.0</t>
  </si>
  <si>
    <t>65.0</t>
  </si>
  <si>
    <t>67.0</t>
  </si>
  <si>
    <t>70.0</t>
  </si>
  <si>
    <t>74.0</t>
  </si>
  <si>
    <t>78.0</t>
  </si>
  <si>
    <t>82.0</t>
  </si>
  <si>
    <t>2:30.0</t>
  </si>
  <si>
    <t>2:27.0</t>
  </si>
  <si>
    <t>2:40.0</t>
  </si>
  <si>
    <t>2:45.0</t>
  </si>
  <si>
    <t>2:55.0</t>
  </si>
  <si>
    <t>3:05.0</t>
  </si>
  <si>
    <t>3:15.0</t>
  </si>
  <si>
    <t>5:07.0</t>
  </si>
  <si>
    <t>5:05.0</t>
  </si>
  <si>
    <t>5:10.0</t>
  </si>
  <si>
    <t>5:25.0</t>
  </si>
  <si>
    <t>5:40.0</t>
  </si>
  <si>
    <t>27.50</t>
  </si>
  <si>
    <t>5000A</t>
  </si>
  <si>
    <t>5000B</t>
  </si>
  <si>
    <t>110HA</t>
  </si>
  <si>
    <t>110HB</t>
  </si>
  <si>
    <t>3000ScA</t>
  </si>
  <si>
    <t>3000ScB</t>
  </si>
  <si>
    <t>Men</t>
  </si>
  <si>
    <t>5/1</t>
  </si>
  <si>
    <t>6/2</t>
  </si>
  <si>
    <t>7/3</t>
  </si>
  <si>
    <t>8/4</t>
  </si>
  <si>
    <t>Women</t>
  </si>
  <si>
    <t>100m</t>
  </si>
  <si>
    <t>110mH</t>
  </si>
  <si>
    <t>100mH</t>
  </si>
  <si>
    <t>1500m</t>
  </si>
  <si>
    <t>200m</t>
  </si>
  <si>
    <t>5000m</t>
  </si>
  <si>
    <t>3000m</t>
  </si>
  <si>
    <t>400m</t>
  </si>
  <si>
    <t>400mH</t>
  </si>
  <si>
    <t>4x100m</t>
  </si>
  <si>
    <t>4x400m</t>
  </si>
  <si>
    <t>800m</t>
  </si>
  <si>
    <t>Discus</t>
  </si>
  <si>
    <t>Hammer</t>
  </si>
  <si>
    <t>High Jump</t>
  </si>
  <si>
    <t>Javelin</t>
  </si>
  <si>
    <t>Long Jump</t>
  </si>
  <si>
    <t>Pole Vault</t>
  </si>
  <si>
    <t>Shot</t>
  </si>
  <si>
    <t>Triple Jump</t>
  </si>
  <si>
    <t>DISTANCE SCORE CARD</t>
  </si>
  <si>
    <t>Event No.</t>
  </si>
  <si>
    <t>Standard:</t>
  </si>
  <si>
    <t>Record(s)</t>
  </si>
  <si>
    <t>Competition Order</t>
  </si>
  <si>
    <t>Competitor's Number</t>
  </si>
  <si>
    <t>FIRST trial</t>
  </si>
  <si>
    <t>SECOND trial</t>
  </si>
  <si>
    <t>THIRD trial</t>
  </si>
  <si>
    <t>Best of three trials</t>
  </si>
  <si>
    <t>Position after three trials</t>
  </si>
  <si>
    <t>FOURTH trial</t>
  </si>
  <si>
    <t>FIFTH trial</t>
  </si>
  <si>
    <t>SIXTH trial</t>
  </si>
  <si>
    <t>Best of all trials</t>
  </si>
  <si>
    <t>Final Position</t>
  </si>
  <si>
    <t>Metres</t>
  </si>
  <si>
    <t>RESULT</t>
  </si>
  <si>
    <t>(b)</t>
  </si>
  <si>
    <t>Judges</t>
  </si>
  <si>
    <t>Place</t>
  </si>
  <si>
    <t>Number</t>
  </si>
  <si>
    <t>Points</t>
  </si>
  <si>
    <t>1st</t>
  </si>
  <si>
    <t>(1st) 9th</t>
  </si>
  <si>
    <t>2nd</t>
  </si>
  <si>
    <t>(2nd) 10th</t>
  </si>
  <si>
    <t>3rd</t>
  </si>
  <si>
    <t>(3rd) 11th</t>
  </si>
  <si>
    <t>4th</t>
  </si>
  <si>
    <t>(4th) 12th</t>
  </si>
  <si>
    <t>5th</t>
  </si>
  <si>
    <t>(5th) 13th</t>
  </si>
  <si>
    <t>6th</t>
  </si>
  <si>
    <t>(6th) 14th</t>
  </si>
  <si>
    <t>Referee</t>
  </si>
  <si>
    <t>7th</t>
  </si>
  <si>
    <t>(7th) 15th</t>
  </si>
  <si>
    <t>8th</t>
  </si>
  <si>
    <t>(8th) 16th</t>
  </si>
  <si>
    <t>HTW</t>
  </si>
  <si>
    <t>DTW</t>
  </si>
  <si>
    <t>JTW</t>
  </si>
  <si>
    <t>SPW</t>
  </si>
  <si>
    <t>Meeting: Southern Athletics League</t>
  </si>
  <si>
    <t>3000</t>
  </si>
  <si>
    <t>SW</t>
  </si>
  <si>
    <t>400HW</t>
  </si>
  <si>
    <t>100HW</t>
  </si>
  <si>
    <t>Time: 12:00</t>
  </si>
  <si>
    <t>Competitors shall have three attempts each with the top four scoring athletes having a further three attempts.</t>
  </si>
  <si>
    <t>Time: 12:45</t>
  </si>
  <si>
    <t>Time: 1:00</t>
  </si>
  <si>
    <t>Time: 1:30</t>
  </si>
  <si>
    <t>Time: 2:15</t>
  </si>
  <si>
    <t>Time: 2:30</t>
  </si>
  <si>
    <t>Time: 3:00</t>
  </si>
  <si>
    <t>Time: 3:30</t>
  </si>
  <si>
    <t>HEIGHT SCORE CARD</t>
  </si>
  <si>
    <t>Standard</t>
  </si>
  <si>
    <t>Starting Height</t>
  </si>
  <si>
    <t>Best Performance</t>
  </si>
  <si>
    <t>Trials at Height Cleared</t>
  </si>
  <si>
    <t>Total Failures</t>
  </si>
  <si>
    <t>(B)</t>
  </si>
  <si>
    <r>
      <t xml:space="preserve">(1st) </t>
    </r>
    <r>
      <rPr>
        <b/>
        <sz val="8"/>
        <rFont val="Arial"/>
        <family val="2"/>
      </rPr>
      <t>9th</t>
    </r>
  </si>
  <si>
    <r>
      <t xml:space="preserve">(2nd) </t>
    </r>
    <r>
      <rPr>
        <b/>
        <sz val="8"/>
        <rFont val="Arial"/>
        <family val="2"/>
      </rPr>
      <t>10th</t>
    </r>
  </si>
  <si>
    <r>
      <t xml:space="preserve">(3rd) </t>
    </r>
    <r>
      <rPr>
        <b/>
        <sz val="8"/>
        <rFont val="Arial"/>
        <family val="2"/>
      </rPr>
      <t>11th</t>
    </r>
  </si>
  <si>
    <r>
      <t xml:space="preserve">(4th) </t>
    </r>
    <r>
      <rPr>
        <b/>
        <sz val="8"/>
        <rFont val="Arial"/>
        <family val="2"/>
      </rPr>
      <t>12th</t>
    </r>
  </si>
  <si>
    <r>
      <t xml:space="preserve">(5th) </t>
    </r>
    <r>
      <rPr>
        <b/>
        <sz val="8"/>
        <rFont val="Arial"/>
        <family val="2"/>
      </rPr>
      <t>13th</t>
    </r>
  </si>
  <si>
    <r>
      <t xml:space="preserve">(6th) </t>
    </r>
    <r>
      <rPr>
        <b/>
        <sz val="8"/>
        <rFont val="Arial"/>
        <family val="2"/>
      </rPr>
      <t>14th</t>
    </r>
  </si>
  <si>
    <r>
      <t xml:space="preserve">(7th) </t>
    </r>
    <r>
      <rPr>
        <b/>
        <sz val="8"/>
        <rFont val="Arial"/>
        <family val="2"/>
      </rPr>
      <t>15th</t>
    </r>
  </si>
  <si>
    <r>
      <t xml:space="preserve">(8th) </t>
    </r>
    <r>
      <rPr>
        <b/>
        <sz val="8"/>
        <rFont val="Arial"/>
        <family val="2"/>
      </rPr>
      <t>16th</t>
    </r>
  </si>
  <si>
    <t>Time: 2:00</t>
  </si>
  <si>
    <t>Lane</t>
  </si>
  <si>
    <t>Women's 400m Hurdles</t>
  </si>
  <si>
    <t>Men's 400m Hurdles</t>
  </si>
  <si>
    <t>Women's 800m</t>
  </si>
  <si>
    <t>Men's 800m</t>
  </si>
  <si>
    <t>Women's 100m</t>
  </si>
  <si>
    <t>Men's 100m</t>
  </si>
  <si>
    <t>Women's 400m</t>
  </si>
  <si>
    <t>Men's 400m</t>
  </si>
  <si>
    <t>Women's 3000m</t>
  </si>
  <si>
    <t>Women's 100m Hurdles</t>
  </si>
  <si>
    <t>Men's 110m Hurdles</t>
  </si>
  <si>
    <t>Women's 200m</t>
  </si>
  <si>
    <t>HJ</t>
  </si>
  <si>
    <t>LJ</t>
  </si>
  <si>
    <t>TJ</t>
  </si>
  <si>
    <t>Waste</t>
  </si>
  <si>
    <t>Team</t>
  </si>
  <si>
    <t>Score</t>
  </si>
  <si>
    <t>PV</t>
  </si>
  <si>
    <t>Event</t>
  </si>
  <si>
    <t>4x100</t>
  </si>
  <si>
    <t>4x400</t>
  </si>
  <si>
    <t>100A</t>
  </si>
  <si>
    <t>100B</t>
  </si>
  <si>
    <t>200A</t>
  </si>
  <si>
    <t>200B</t>
  </si>
  <si>
    <t>400A</t>
  </si>
  <si>
    <t>400B</t>
  </si>
  <si>
    <t>800A</t>
  </si>
  <si>
    <t>800B</t>
  </si>
  <si>
    <t>1500A</t>
  </si>
  <si>
    <t>1500B</t>
  </si>
  <si>
    <t>400HA</t>
  </si>
  <si>
    <t>400HB</t>
  </si>
  <si>
    <t>HJA</t>
  </si>
  <si>
    <t>HJB</t>
  </si>
  <si>
    <t>PVA</t>
  </si>
  <si>
    <t>PVB</t>
  </si>
  <si>
    <t>LJA</t>
  </si>
  <si>
    <t>LJB</t>
  </si>
  <si>
    <t>TJA</t>
  </si>
  <si>
    <t>TJB</t>
  </si>
  <si>
    <t>SPA</t>
  </si>
  <si>
    <t>SPB</t>
  </si>
  <si>
    <t>DTA</t>
  </si>
  <si>
    <t>DTB</t>
  </si>
  <si>
    <t>HTA</t>
  </si>
  <si>
    <t>HTB</t>
  </si>
  <si>
    <t>JTA</t>
  </si>
  <si>
    <t>JTB</t>
  </si>
  <si>
    <t>B</t>
  </si>
  <si>
    <t>Team 2</t>
  </si>
  <si>
    <t>Team 3</t>
  </si>
  <si>
    <t>Team 4</t>
  </si>
  <si>
    <t>Cat</t>
  </si>
  <si>
    <t>Letter</t>
  </si>
  <si>
    <t>A</t>
  </si>
  <si>
    <t>C</t>
  </si>
  <si>
    <t>D</t>
  </si>
  <si>
    <t>U17</t>
  </si>
  <si>
    <t>U20</t>
  </si>
  <si>
    <t>AW Standards</t>
  </si>
  <si>
    <t>27.0</t>
  </si>
  <si>
    <t>28.0</t>
  </si>
  <si>
    <t>64.0</t>
  </si>
  <si>
    <t>29.0</t>
  </si>
  <si>
    <t>18.0</t>
  </si>
  <si>
    <t>19.0</t>
  </si>
  <si>
    <t>20.0</t>
  </si>
  <si>
    <t>22.0</t>
  </si>
  <si>
    <t>4.50</t>
  </si>
  <si>
    <t>9.00</t>
  </si>
  <si>
    <t>9.50</t>
  </si>
  <si>
    <t>25.00</t>
  </si>
  <si>
    <t>53.0</t>
  </si>
  <si>
    <t>4:25.0</t>
  </si>
  <si>
    <t>Wind=</t>
  </si>
  <si>
    <t>Venue</t>
  </si>
  <si>
    <t>Date</t>
  </si>
  <si>
    <t>Match:</t>
  </si>
  <si>
    <t>Wind</t>
  </si>
  <si>
    <t>Non-scoring events</t>
  </si>
  <si>
    <t>Pos</t>
  </si>
  <si>
    <t>Name</t>
  </si>
  <si>
    <t>Club</t>
  </si>
  <si>
    <t>Perf.</t>
  </si>
  <si>
    <t>aw</t>
  </si>
  <si>
    <t>B String</t>
  </si>
  <si>
    <t>4</t>
  </si>
  <si>
    <t>2</t>
  </si>
  <si>
    <t>13.2</t>
  </si>
  <si>
    <t>5:15.0</t>
  </si>
  <si>
    <t>12:00.0</t>
  </si>
  <si>
    <t>75.0</t>
  </si>
  <si>
    <t>100</t>
  </si>
  <si>
    <t>200</t>
  </si>
  <si>
    <t>400</t>
  </si>
  <si>
    <t>800</t>
  </si>
  <si>
    <t>1500</t>
  </si>
  <si>
    <t>400H</t>
  </si>
  <si>
    <t>110H</t>
  </si>
  <si>
    <t>SP</t>
  </si>
  <si>
    <t>DT</t>
  </si>
  <si>
    <t>JT</t>
  </si>
  <si>
    <t>HT</t>
  </si>
  <si>
    <t>SM</t>
  </si>
  <si>
    <t>M45</t>
  </si>
  <si>
    <t>M55</t>
  </si>
  <si>
    <t>5000</t>
  </si>
  <si>
    <t>M40</t>
  </si>
  <si>
    <t>M50</t>
  </si>
  <si>
    <t>M60</t>
  </si>
  <si>
    <t>12.0</t>
  </si>
  <si>
    <t>24.5</t>
  </si>
  <si>
    <t>55.5</t>
  </si>
  <si>
    <t>2:10.0</t>
  </si>
  <si>
    <t>4:35.0</t>
  </si>
  <si>
    <t>2.65</t>
  </si>
  <si>
    <t>1.65</t>
  </si>
  <si>
    <t>5.40</t>
  </si>
  <si>
    <t>11.00</t>
  </si>
  <si>
    <t>10.00</t>
  </si>
  <si>
    <t>11.7</t>
  </si>
  <si>
    <t>23.8</t>
  </si>
  <si>
    <t>54.0</t>
  </si>
  <si>
    <t>2:06.0</t>
  </si>
  <si>
    <t>17:00.0</t>
  </si>
  <si>
    <t>11:00.0</t>
  </si>
  <si>
    <t>2.80</t>
  </si>
  <si>
    <t>1.70</t>
  </si>
  <si>
    <t>5.70</t>
  </si>
  <si>
    <t>11.50</t>
  </si>
  <si>
    <t>35.00</t>
  </si>
  <si>
    <t>46.0</t>
  </si>
  <si>
    <t>3:38.0</t>
  </si>
  <si>
    <t>11.5</t>
  </si>
  <si>
    <t>23.4</t>
  </si>
  <si>
    <t>2:04.0</t>
  </si>
  <si>
    <t>4:20.0</t>
  </si>
  <si>
    <t>16:45.0</t>
  </si>
  <si>
    <t>63.0</t>
  </si>
  <si>
    <t>3.00</t>
  </si>
  <si>
    <t>1.73</t>
  </si>
  <si>
    <t>5.80</t>
  </si>
  <si>
    <t>11.80</t>
  </si>
  <si>
    <t>28.00</t>
  </si>
  <si>
    <t>37.00</t>
  </si>
  <si>
    <t>26.00</t>
  </si>
  <si>
    <t>44.0</t>
  </si>
  <si>
    <t>3:26.0</t>
  </si>
  <si>
    <t>12.3</t>
  </si>
  <si>
    <t>25.0</t>
  </si>
  <si>
    <t>56.0</t>
  </si>
  <si>
    <t>2:08.0</t>
  </si>
  <si>
    <t>1.62</t>
  </si>
  <si>
    <t>5.50</t>
  </si>
  <si>
    <t>12.8</t>
  </si>
  <si>
    <t>26.0</t>
  </si>
  <si>
    <t>58.0</t>
  </si>
  <si>
    <t>2:15.0</t>
  </si>
  <si>
    <t>68.0</t>
  </si>
  <si>
    <t>11:15.0</t>
  </si>
  <si>
    <t>2.90</t>
  </si>
  <si>
    <t>1.51</t>
  </si>
  <si>
    <t>5.00</t>
  </si>
  <si>
    <t>10.50</t>
  </si>
  <si>
    <t>60.0</t>
  </si>
  <si>
    <t>2:20.0</t>
  </si>
  <si>
    <t>4:50.0</t>
  </si>
  <si>
    <t>17:30.0</t>
  </si>
  <si>
    <t>72.0</t>
  </si>
  <si>
    <t>2.75</t>
  </si>
  <si>
    <t>1.48</t>
  </si>
  <si>
    <t>30.00</t>
  </si>
  <si>
    <t>13.7</t>
  </si>
  <si>
    <t>2:26.0</t>
  </si>
  <si>
    <t>5:00.0</t>
  </si>
  <si>
    <t>18:30.0</t>
  </si>
  <si>
    <t>21.0</t>
  </si>
  <si>
    <t>76.0</t>
  </si>
  <si>
    <t>13:00.0</t>
  </si>
  <si>
    <t>2.50</t>
  </si>
  <si>
    <t>1.41</t>
  </si>
  <si>
    <t>14.2</t>
  </si>
  <si>
    <t>66.0</t>
  </si>
  <si>
    <t>2:35.0</t>
  </si>
  <si>
    <t>19:15.0</t>
  </si>
  <si>
    <t>14:00.0</t>
  </si>
  <si>
    <t>2.35</t>
  </si>
  <si>
    <t>1.33</t>
  </si>
  <si>
    <t>4.30</t>
  </si>
  <si>
    <t>8.75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</si>
</sst>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:ss.00"/>
    <numFmt numFmtId="174" formatCode="m:ss.0"/>
    <numFmt numFmtId="175" formatCode="m:ss.0;"/>
    <numFmt numFmtId="176" formatCode="mm:ss.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"/>
    <numFmt numFmtId="182" formatCode="h:mm"/>
    <numFmt numFmtId="183" formatCode="[$-809]dd\ mmmm\ yyyy"/>
    <numFmt numFmtId="184" formatCode="[$-809]dd\ mmmm\ yyyy;@"/>
    <numFmt numFmtId="185" formatCode="d\ mmmm\ yyyy"/>
    <numFmt numFmtId="186" formatCode="[$-F800]dddd\,\ mmmm\ dd\,\ yyyy"/>
  </numFmts>
  <fonts count="4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2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30" borderId="0" xfId="0" applyFont="1" applyFill="1" applyAlignment="1" applyProtection="1">
      <alignment horizontal="left"/>
      <protection locked="0"/>
    </xf>
    <xf numFmtId="0" fontId="1" fillId="30" borderId="0" xfId="0" applyFont="1" applyFill="1" applyBorder="1" applyAlignment="1" applyProtection="1">
      <alignment horizontal="left"/>
      <protection locked="0"/>
    </xf>
    <xf numFmtId="0" fontId="0" fillId="3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 quotePrefix="1">
      <alignment horizontal="right"/>
      <protection locked="0"/>
    </xf>
    <xf numFmtId="49" fontId="0" fillId="30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1" fillId="30" borderId="0" xfId="0" applyNumberFormat="1" applyFont="1" applyFill="1" applyAlignment="1" applyProtection="1">
      <alignment/>
      <protection locked="0"/>
    </xf>
    <xf numFmtId="49" fontId="0" fillId="3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1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textRotation="180"/>
      <protection/>
    </xf>
    <xf numFmtId="0" fontId="1" fillId="0" borderId="10" xfId="0" applyFont="1" applyBorder="1" applyAlignment="1" applyProtection="1">
      <alignment textRotation="180"/>
      <protection/>
    </xf>
    <xf numFmtId="0" fontId="0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3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16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182" fontId="13" fillId="0" borderId="0" xfId="0" applyNumberFormat="1" applyFont="1" applyAlignment="1">
      <alignment horizontal="center"/>
    </xf>
    <xf numFmtId="0" fontId="1" fillId="0" borderId="24" xfId="0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left"/>
      <protection/>
    </xf>
    <xf numFmtId="0" fontId="1" fillId="3" borderId="0" xfId="0" applyFont="1" applyFill="1" applyAlignment="1" applyProtection="1">
      <alignment horizontal="left"/>
      <protection locked="0"/>
    </xf>
    <xf numFmtId="49" fontId="0" fillId="3" borderId="0" xfId="0" applyNumberFormat="1" applyFont="1" applyFill="1" applyAlignment="1" applyProtection="1">
      <alignment/>
      <protection locked="0"/>
    </xf>
    <xf numFmtId="49" fontId="0" fillId="3" borderId="10" xfId="0" applyNumberFormat="1" applyFont="1" applyFill="1" applyBorder="1" applyAlignment="1" applyProtection="1">
      <alignment horizontal="right"/>
      <protection locked="0"/>
    </xf>
    <xf numFmtId="0" fontId="0" fillId="3" borderId="10" xfId="0" applyNumberFormat="1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/>
      <protection locked="0"/>
    </xf>
    <xf numFmtId="49" fontId="1" fillId="3" borderId="0" xfId="0" applyNumberFormat="1" applyFont="1" applyFill="1" applyAlignment="1" applyProtection="1">
      <alignment/>
      <protection locked="0"/>
    </xf>
    <xf numFmtId="0" fontId="0" fillId="31" borderId="0" xfId="0" applyFill="1" applyAlignment="1" applyProtection="1">
      <alignment/>
      <protection locked="0"/>
    </xf>
    <xf numFmtId="0" fontId="0" fillId="30" borderId="0" xfId="0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30" borderId="10" xfId="0" applyNumberFormat="1" applyFont="1" applyFill="1" applyBorder="1" applyAlignment="1" applyProtection="1">
      <alignment horizontal="left"/>
      <protection locked="0"/>
    </xf>
    <xf numFmtId="49" fontId="0" fillId="30" borderId="10" xfId="0" applyNumberFormat="1" applyFont="1" applyFill="1" applyBorder="1" applyAlignment="1" applyProtection="1" quotePrefix="1">
      <alignment horizontal="left"/>
      <protection locked="0"/>
    </xf>
    <xf numFmtId="49" fontId="0" fillId="3" borderId="10" xfId="0" applyNumberFormat="1" applyFont="1" applyFill="1" applyBorder="1" applyAlignment="1" applyProtection="1">
      <alignment horizontal="left"/>
      <protection locked="0"/>
    </xf>
    <xf numFmtId="49" fontId="0" fillId="3" borderId="10" xfId="0" applyNumberFormat="1" applyFont="1" applyFill="1" applyBorder="1" applyAlignment="1" applyProtection="1" quotePrefix="1">
      <alignment horizontal="left"/>
      <protection locked="0"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30" borderId="0" xfId="0" applyFill="1" applyAlignment="1" applyProtection="1">
      <alignment/>
      <protection/>
    </xf>
    <xf numFmtId="0" fontId="0" fillId="30" borderId="0" xfId="0" applyFill="1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Alignment="1" applyProtection="1" quotePrefix="1">
      <alignment/>
      <protection/>
    </xf>
    <xf numFmtId="47" fontId="0" fillId="0" borderId="0" xfId="0" applyNumberFormat="1" applyAlignment="1" applyProtection="1" quotePrefix="1">
      <alignment/>
      <protection/>
    </xf>
    <xf numFmtId="0" fontId="0" fillId="0" borderId="0" xfId="0" applyAlignment="1" applyProtection="1" quotePrefix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6" fontId="3" fillId="0" borderId="10" xfId="0" applyNumberFormat="1" applyFont="1" applyBorder="1" applyAlignment="1" applyProtection="1" quotePrefix="1">
      <alignment horizontal="center"/>
      <protection/>
    </xf>
    <xf numFmtId="0" fontId="3" fillId="0" borderId="10" xfId="0" applyFon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85" fontId="0" fillId="0" borderId="0" xfId="0" applyNumberFormat="1" applyFill="1" applyAlignment="1" applyProtection="1">
      <alignment/>
      <protection/>
    </xf>
    <xf numFmtId="0" fontId="1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31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 vertical="center"/>
      <protection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18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0" fillId="32" borderId="25" xfId="0" applyFont="1" applyFill="1" applyBorder="1" applyAlignment="1" applyProtection="1">
      <alignment/>
      <protection locked="0"/>
    </xf>
    <xf numFmtId="0" fontId="0" fillId="32" borderId="26" xfId="0" applyFont="1" applyFill="1" applyBorder="1" applyAlignment="1" applyProtection="1">
      <alignment/>
      <protection locked="0"/>
    </xf>
    <xf numFmtId="0" fontId="0" fillId="32" borderId="27" xfId="0" applyFill="1" applyBorder="1" applyAlignment="1" applyProtection="1">
      <alignment/>
      <protection locked="0"/>
    </xf>
    <xf numFmtId="0" fontId="0" fillId="32" borderId="25" xfId="0" applyFill="1" applyBorder="1" applyAlignment="1" applyProtection="1">
      <alignment/>
      <protection locked="0"/>
    </xf>
    <xf numFmtId="0" fontId="0" fillId="32" borderId="28" xfId="0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0" borderId="25" xfId="0" applyFont="1" applyFill="1" applyBorder="1" applyAlignment="1" applyProtection="1">
      <alignment/>
      <protection locked="0"/>
    </xf>
    <xf numFmtId="0" fontId="0" fillId="30" borderId="25" xfId="0" applyFill="1" applyBorder="1" applyAlignment="1" applyProtection="1">
      <alignment/>
      <protection locked="0"/>
    </xf>
    <xf numFmtId="0" fontId="0" fillId="30" borderId="28" xfId="0" applyFill="1" applyBorder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37" xfId="0" applyFont="1" applyBorder="1" applyAlignment="1">
      <alignment vertical="center" textRotation="90" wrapText="1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2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35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1" fillId="0" borderId="41" xfId="0" applyFont="1" applyBorder="1" applyAlignment="1">
      <alignment textRotation="90" wrapText="1"/>
    </xf>
    <xf numFmtId="0" fontId="1" fillId="0" borderId="42" xfId="0" applyFont="1" applyBorder="1" applyAlignment="1">
      <alignment textRotation="90" wrapText="1"/>
    </xf>
    <xf numFmtId="0" fontId="1" fillId="0" borderId="37" xfId="0" applyFont="1" applyBorder="1" applyAlignment="1">
      <alignment textRotation="90" wrapText="1"/>
    </xf>
    <xf numFmtId="0" fontId="1" fillId="0" borderId="38" xfId="0" applyFont="1" applyBorder="1" applyAlignment="1">
      <alignment textRotation="90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7" xfId="0" applyFont="1" applyBorder="1" applyAlignment="1">
      <alignment/>
    </xf>
    <xf numFmtId="0" fontId="14" fillId="0" borderId="35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0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left" vertical="center"/>
    </xf>
    <xf numFmtId="0" fontId="3" fillId="0" borderId="0" xfId="0" applyFont="1" applyAlignment="1">
      <alignment/>
    </xf>
    <xf numFmtId="0" fontId="8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55"/>
  <sheetViews>
    <sheetView workbookViewId="0" topLeftCell="A29">
      <selection activeCell="G22" sqref="G22"/>
    </sheetView>
  </sheetViews>
  <sheetFormatPr defaultColWidth="8.8515625" defaultRowHeight="12.75"/>
  <cols>
    <col min="1" max="1" width="10.00390625" style="41" customWidth="1"/>
    <col min="2" max="2" width="22.8515625" style="41" customWidth="1"/>
    <col min="3" max="3" width="14.7109375" style="41" customWidth="1"/>
    <col min="4" max="4" width="20.8515625" style="41" customWidth="1"/>
    <col min="5" max="5" width="7.140625" style="41" bestFit="1" customWidth="1"/>
    <col min="6" max="6" width="20.00390625" style="41" customWidth="1"/>
    <col min="7" max="7" width="7.140625" style="41" bestFit="1" customWidth="1"/>
    <col min="8" max="8" width="22.421875" style="41" customWidth="1"/>
    <col min="9" max="9" width="7.140625" style="41" bestFit="1" customWidth="1"/>
    <col min="10" max="10" width="18.28125" style="41" customWidth="1"/>
    <col min="11" max="11" width="8.8515625" style="41" customWidth="1"/>
    <col min="12" max="12" width="11.28125" style="41" customWidth="1"/>
    <col min="13" max="22" width="9.140625" style="41" customWidth="1"/>
  </cols>
  <sheetData>
    <row r="1" spans="1:5" ht="12.75">
      <c r="A1" s="113" t="s">
        <v>966</v>
      </c>
      <c r="B1" s="141">
        <v>334</v>
      </c>
      <c r="C1" s="7"/>
      <c r="D1" s="155" t="s">
        <v>493</v>
      </c>
      <c r="E1" s="7"/>
    </row>
    <row r="2" spans="2:4" ht="12.75">
      <c r="B2" s="113" t="str">
        <f>"Sweatshop Southern Athletics League: Division "&amp;IF(VALUE(LEFT(B1,1))&gt;1,VLOOKUP(VALUE(LEFT(B1,1)),Division,2,FALSE),"1")&amp;" - Round "&amp;MID(B1,2,1)&amp;" - "&amp;B3&amp;" - "&amp;TEXT(D3,"d mmmm yyyy")</f>
        <v>Sweatshop Southern Athletics League: Division 2 South - Round 3 - Kingston - 21 June 2014</v>
      </c>
      <c r="C2" s="113"/>
      <c r="D2" s="113"/>
    </row>
    <row r="3" spans="1:4" ht="12.75">
      <c r="A3" s="113"/>
      <c r="B3" s="114" t="str">
        <f>VLOOKUP(B1,Match,2,FALSE)</f>
        <v>Kingston</v>
      </c>
      <c r="C3" s="115"/>
      <c r="D3" s="137" t="str">
        <f>VLOOKUP(B1,Match,3,FALSE)</f>
        <v>21 June 2014</v>
      </c>
    </row>
    <row r="4" spans="1:4" ht="12.75">
      <c r="A4" s="113" t="s">
        <v>942</v>
      </c>
      <c r="B4" s="113" t="s">
        <v>903</v>
      </c>
      <c r="C4" s="113"/>
      <c r="D4" s="113"/>
    </row>
    <row r="5" spans="1:7" ht="12.75">
      <c r="A5" s="113" t="str">
        <f>VLOOKUP(B5,Clubs,2,FALSE)</f>
        <v>E</v>
      </c>
      <c r="B5" s="116" t="str">
        <f>VLOOKUP($B$1,Match,4,FALSE)</f>
        <v>Epsom &amp; Ewell</v>
      </c>
      <c r="C5" s="116"/>
      <c r="D5" s="113"/>
      <c r="F5" s="41">
        <v>2</v>
      </c>
      <c r="G5" s="41">
        <v>3</v>
      </c>
    </row>
    <row r="6" spans="1:7" ht="12.75">
      <c r="A6" s="113" t="str">
        <f>VLOOKUP(B6,Clubs,2,FALSE)</f>
        <v>Y</v>
      </c>
      <c r="B6" s="116" t="str">
        <f>VLOOKUP($B$1,Match,6,FALSE)</f>
        <v>Crawley</v>
      </c>
      <c r="C6" s="116"/>
      <c r="D6" s="113"/>
      <c r="F6" s="41">
        <v>4</v>
      </c>
      <c r="G6" s="41">
        <v>5</v>
      </c>
    </row>
    <row r="7" spans="1:7" ht="12.75">
      <c r="A7" s="113" t="str">
        <f>VLOOKUP(B7,Clubs,2,FALSE)</f>
        <v>R</v>
      </c>
      <c r="B7" s="116" t="str">
        <f>VLOOKUP($B$1,Match,8,FALSE)</f>
        <v>Team Dorset</v>
      </c>
      <c r="C7" s="116"/>
      <c r="D7" s="113"/>
      <c r="F7" s="41">
        <v>6</v>
      </c>
      <c r="G7" s="41">
        <v>7</v>
      </c>
    </row>
    <row r="8" spans="1:7" ht="12.75">
      <c r="A8" s="113" t="str">
        <f>VLOOKUP(B8,Clubs,2,FALSE)</f>
        <v>T</v>
      </c>
      <c r="B8" s="116" t="str">
        <f>VLOOKUP($B$1,Match,10,FALSE)</f>
        <v>Tonbridge</v>
      </c>
      <c r="C8" s="116"/>
      <c r="D8" s="113"/>
      <c r="F8" s="41">
        <v>8</v>
      </c>
      <c r="G8" s="41">
        <v>9</v>
      </c>
    </row>
    <row r="9" ht="12.75"/>
    <row r="10" spans="1:9" ht="12.75">
      <c r="A10" s="117" t="s">
        <v>786</v>
      </c>
      <c r="B10" s="118" t="str">
        <f>$B$5</f>
        <v>Epsom &amp; Ewell</v>
      </c>
      <c r="C10" s="119" t="s">
        <v>941</v>
      </c>
      <c r="D10" s="118" t="str">
        <f>$B$6</f>
        <v>Crawley</v>
      </c>
      <c r="E10" s="119" t="s">
        <v>941</v>
      </c>
      <c r="F10" s="118" t="str">
        <f>$B$7</f>
        <v>Team Dorset</v>
      </c>
      <c r="G10" s="119" t="s">
        <v>941</v>
      </c>
      <c r="H10" s="118" t="str">
        <f>$B$8</f>
        <v>Tonbridge</v>
      </c>
      <c r="I10" s="119" t="s">
        <v>941</v>
      </c>
    </row>
    <row r="11" spans="1:22" ht="12.75">
      <c r="A11" s="123" t="s">
        <v>981</v>
      </c>
      <c r="B11" s="165" t="s">
        <v>239</v>
      </c>
      <c r="C11" s="159" t="s">
        <v>946</v>
      </c>
      <c r="D11" s="165" t="s">
        <v>309</v>
      </c>
      <c r="E11" s="159" t="s">
        <v>992</v>
      </c>
      <c r="F11" s="160" t="s">
        <v>401</v>
      </c>
      <c r="G11" s="159" t="s">
        <v>946</v>
      </c>
      <c r="H11" s="157" t="s">
        <v>372</v>
      </c>
      <c r="I11" s="159" t="s">
        <v>947</v>
      </c>
      <c r="V11"/>
    </row>
    <row r="12" spans="1:22" ht="12.75">
      <c r="A12" s="123" t="s">
        <v>982</v>
      </c>
      <c r="B12" s="165" t="s">
        <v>239</v>
      </c>
      <c r="C12" s="160" t="s">
        <v>946</v>
      </c>
      <c r="D12" s="165" t="s">
        <v>309</v>
      </c>
      <c r="E12" s="160" t="s">
        <v>992</v>
      </c>
      <c r="F12" s="160" t="s">
        <v>411</v>
      </c>
      <c r="G12" s="160" t="s">
        <v>946</v>
      </c>
      <c r="H12" s="157" t="s">
        <v>372</v>
      </c>
      <c r="I12" s="160" t="s">
        <v>947</v>
      </c>
      <c r="V12"/>
    </row>
    <row r="13" spans="1:22" ht="12.75">
      <c r="A13" s="123" t="s">
        <v>983</v>
      </c>
      <c r="B13" s="165" t="s">
        <v>240</v>
      </c>
      <c r="C13" s="160" t="s">
        <v>992</v>
      </c>
      <c r="D13" s="165" t="s">
        <v>276</v>
      </c>
      <c r="E13" s="160" t="s">
        <v>645</v>
      </c>
      <c r="F13" s="160" t="s">
        <v>402</v>
      </c>
      <c r="G13" s="160" t="s">
        <v>993</v>
      </c>
      <c r="H13" s="157" t="s">
        <v>373</v>
      </c>
      <c r="I13" s="160" t="s">
        <v>946</v>
      </c>
      <c r="V13"/>
    </row>
    <row r="14" spans="1:22" ht="12.75">
      <c r="A14" s="123" t="s">
        <v>984</v>
      </c>
      <c r="B14" s="166" t="s">
        <v>241</v>
      </c>
      <c r="C14" s="160" t="s">
        <v>992</v>
      </c>
      <c r="D14" s="165" t="s">
        <v>277</v>
      </c>
      <c r="E14" s="160" t="s">
        <v>946</v>
      </c>
      <c r="F14" s="160" t="s">
        <v>410</v>
      </c>
      <c r="G14" s="160" t="s">
        <v>946</v>
      </c>
      <c r="H14" s="157" t="s">
        <v>374</v>
      </c>
      <c r="I14" s="160" t="s">
        <v>947</v>
      </c>
      <c r="V14"/>
    </row>
    <row r="15" spans="1:22" ht="12.75">
      <c r="A15" s="123" t="s">
        <v>985</v>
      </c>
      <c r="B15" s="166" t="s">
        <v>241</v>
      </c>
      <c r="C15" s="160" t="s">
        <v>992</v>
      </c>
      <c r="D15" s="165" t="s">
        <v>278</v>
      </c>
      <c r="E15" s="160" t="s">
        <v>996</v>
      </c>
      <c r="F15" s="160" t="s">
        <v>307</v>
      </c>
      <c r="G15" s="160" t="s">
        <v>998</v>
      </c>
      <c r="H15" s="157" t="s">
        <v>375</v>
      </c>
      <c r="I15" s="160" t="s">
        <v>947</v>
      </c>
      <c r="V15"/>
    </row>
    <row r="16" spans="1:22" ht="12.75">
      <c r="A16" s="123" t="str">
        <f>IF(INT(VALUE(MID($B$1,2,1))/2)*2=VALUE(MID($B$1,2,1)),"3000","5000")</f>
        <v>5000</v>
      </c>
      <c r="B16" s="166" t="s">
        <v>242</v>
      </c>
      <c r="C16" s="160" t="s">
        <v>645</v>
      </c>
      <c r="D16" s="160" t="s">
        <v>310</v>
      </c>
      <c r="E16" s="160" t="s">
        <v>996</v>
      </c>
      <c r="F16" s="160" t="s">
        <v>405</v>
      </c>
      <c r="G16" s="160" t="s">
        <v>946</v>
      </c>
      <c r="H16" s="157" t="s">
        <v>376</v>
      </c>
      <c r="I16" s="160" t="s">
        <v>992</v>
      </c>
      <c r="V16"/>
    </row>
    <row r="17" spans="1:22" ht="12.75">
      <c r="A17" s="120" t="s">
        <v>987</v>
      </c>
      <c r="B17" s="166" t="s">
        <v>243</v>
      </c>
      <c r="C17" s="160" t="s">
        <v>645</v>
      </c>
      <c r="D17" s="160" t="s">
        <v>279</v>
      </c>
      <c r="E17" s="160" t="s">
        <v>992</v>
      </c>
      <c r="F17" s="160" t="s">
        <v>402</v>
      </c>
      <c r="G17" s="160" t="s">
        <v>993</v>
      </c>
      <c r="H17" s="158" t="s">
        <v>377</v>
      </c>
      <c r="I17" s="160" t="s">
        <v>992</v>
      </c>
      <c r="V17"/>
    </row>
    <row r="18" spans="1:22" ht="12.75">
      <c r="A18" s="120" t="s">
        <v>986</v>
      </c>
      <c r="B18" s="166" t="s">
        <v>243</v>
      </c>
      <c r="C18" s="160" t="s">
        <v>645</v>
      </c>
      <c r="D18" s="160" t="s">
        <v>276</v>
      </c>
      <c r="E18" s="160" t="s">
        <v>645</v>
      </c>
      <c r="F18" s="160" t="s">
        <v>402</v>
      </c>
      <c r="G18" s="160" t="s">
        <v>993</v>
      </c>
      <c r="H18" s="157" t="s">
        <v>377</v>
      </c>
      <c r="I18" s="160" t="s">
        <v>992</v>
      </c>
      <c r="V18"/>
    </row>
    <row r="19" spans="1:22" ht="12.75">
      <c r="A19" s="123" t="str">
        <f>IF(INT(VALUE(MID($B$1,2,1))/2)*2=VALUE(MID($B$1,2,1)),"3000SC","2000SC")</f>
        <v>2000SC</v>
      </c>
      <c r="B19" s="165" t="s">
        <v>240</v>
      </c>
      <c r="C19" s="160" t="s">
        <v>992</v>
      </c>
      <c r="D19" s="160" t="s">
        <v>280</v>
      </c>
      <c r="E19" s="160" t="s">
        <v>997</v>
      </c>
      <c r="F19" s="160" t="s">
        <v>404</v>
      </c>
      <c r="G19" s="160" t="s">
        <v>946</v>
      </c>
      <c r="H19" s="160" t="s">
        <v>386</v>
      </c>
      <c r="I19" s="160" t="s">
        <v>947</v>
      </c>
      <c r="V19"/>
    </row>
    <row r="20" spans="1:22" ht="12.75">
      <c r="A20" s="120" t="s">
        <v>899</v>
      </c>
      <c r="B20" s="166" t="s">
        <v>243</v>
      </c>
      <c r="C20" s="160" t="s">
        <v>645</v>
      </c>
      <c r="D20" s="165" t="s">
        <v>279</v>
      </c>
      <c r="E20" s="160" t="s">
        <v>992</v>
      </c>
      <c r="F20" s="160" t="s">
        <v>406</v>
      </c>
      <c r="G20" s="160" t="s">
        <v>947</v>
      </c>
      <c r="H20" s="160" t="s">
        <v>379</v>
      </c>
      <c r="I20" s="160" t="s">
        <v>947</v>
      </c>
      <c r="V20"/>
    </row>
    <row r="21" spans="1:22" ht="12.75">
      <c r="A21" s="120" t="s">
        <v>905</v>
      </c>
      <c r="B21" s="166" t="s">
        <v>244</v>
      </c>
      <c r="C21" s="160" t="s">
        <v>997</v>
      </c>
      <c r="D21" s="160" t="s">
        <v>281</v>
      </c>
      <c r="E21" s="160" t="s">
        <v>992</v>
      </c>
      <c r="F21" s="160" t="s">
        <v>407</v>
      </c>
      <c r="G21" s="160" t="s">
        <v>947</v>
      </c>
      <c r="H21" s="157" t="s">
        <v>379</v>
      </c>
      <c r="I21" s="160" t="s">
        <v>947</v>
      </c>
      <c r="V21"/>
    </row>
    <row r="22" spans="1:22" ht="12.75">
      <c r="A22" s="120" t="s">
        <v>900</v>
      </c>
      <c r="B22" s="166" t="s">
        <v>243</v>
      </c>
      <c r="C22" s="160" t="s">
        <v>645</v>
      </c>
      <c r="D22" s="160" t="s">
        <v>282</v>
      </c>
      <c r="E22" s="160" t="s">
        <v>645</v>
      </c>
      <c r="F22" s="160" t="s">
        <v>406</v>
      </c>
      <c r="G22" s="160" t="s">
        <v>947</v>
      </c>
      <c r="H22" s="160" t="s">
        <v>379</v>
      </c>
      <c r="I22" s="160" t="s">
        <v>947</v>
      </c>
      <c r="V22"/>
    </row>
    <row r="23" spans="1:22" ht="12.75">
      <c r="A23" s="120" t="s">
        <v>901</v>
      </c>
      <c r="B23" s="165" t="s">
        <v>243</v>
      </c>
      <c r="C23" s="160" t="s">
        <v>645</v>
      </c>
      <c r="D23" s="160" t="s">
        <v>282</v>
      </c>
      <c r="E23" s="160" t="s">
        <v>645</v>
      </c>
      <c r="F23" s="160" t="s">
        <v>402</v>
      </c>
      <c r="G23" s="160" t="s">
        <v>993</v>
      </c>
      <c r="H23" s="160" t="s">
        <v>377</v>
      </c>
      <c r="I23" s="160" t="s">
        <v>992</v>
      </c>
      <c r="V23"/>
    </row>
    <row r="24" spans="1:22" ht="12.75">
      <c r="A24" s="120" t="s">
        <v>988</v>
      </c>
      <c r="B24" s="166" t="s">
        <v>245</v>
      </c>
      <c r="C24" s="160" t="s">
        <v>992</v>
      </c>
      <c r="D24" s="165" t="s">
        <v>279</v>
      </c>
      <c r="E24" s="160" t="s">
        <v>992</v>
      </c>
      <c r="F24" s="160" t="s">
        <v>407</v>
      </c>
      <c r="G24" s="160" t="s">
        <v>947</v>
      </c>
      <c r="H24" s="157" t="s">
        <v>380</v>
      </c>
      <c r="I24" s="160" t="s">
        <v>992</v>
      </c>
      <c r="V24"/>
    </row>
    <row r="25" spans="1:22" ht="12.75">
      <c r="A25" s="120" t="s">
        <v>989</v>
      </c>
      <c r="B25" s="166" t="s">
        <v>245</v>
      </c>
      <c r="C25" s="160" t="s">
        <v>992</v>
      </c>
      <c r="D25" s="160" t="s">
        <v>279</v>
      </c>
      <c r="E25" s="160" t="s">
        <v>992</v>
      </c>
      <c r="F25" s="160" t="s">
        <v>407</v>
      </c>
      <c r="G25" s="160" t="s">
        <v>947</v>
      </c>
      <c r="H25" s="157" t="s">
        <v>380</v>
      </c>
      <c r="I25" s="160" t="s">
        <v>992</v>
      </c>
      <c r="V25"/>
    </row>
    <row r="26" spans="1:22" ht="12.75">
      <c r="A26" s="120" t="s">
        <v>991</v>
      </c>
      <c r="B26" s="166" t="s">
        <v>245</v>
      </c>
      <c r="C26" s="160" t="s">
        <v>992</v>
      </c>
      <c r="D26" s="160" t="s">
        <v>283</v>
      </c>
      <c r="E26" s="160" t="s">
        <v>645</v>
      </c>
      <c r="F26" s="160" t="s">
        <v>409</v>
      </c>
      <c r="G26" s="160" t="s">
        <v>992</v>
      </c>
      <c r="H26" s="157" t="s">
        <v>380</v>
      </c>
      <c r="I26" s="160" t="s">
        <v>992</v>
      </c>
      <c r="V26"/>
    </row>
    <row r="27" spans="1:22" ht="12.75">
      <c r="A27" s="120" t="s">
        <v>990</v>
      </c>
      <c r="B27" s="166" t="s">
        <v>245</v>
      </c>
      <c r="C27" s="160" t="s">
        <v>992</v>
      </c>
      <c r="D27" s="160" t="s">
        <v>279</v>
      </c>
      <c r="E27" s="160" t="s">
        <v>992</v>
      </c>
      <c r="F27" s="160" t="s">
        <v>407</v>
      </c>
      <c r="G27" s="160" t="s">
        <v>947</v>
      </c>
      <c r="H27" s="157" t="s">
        <v>380</v>
      </c>
      <c r="I27" s="160" t="s">
        <v>992</v>
      </c>
      <c r="V27"/>
    </row>
    <row r="28" spans="1:22" ht="12.75">
      <c r="A28" s="120" t="s">
        <v>907</v>
      </c>
      <c r="B28" s="118" t="str">
        <f>$B$5</f>
        <v>Epsom &amp; Ewell</v>
      </c>
      <c r="C28" s="100" t="s">
        <v>992</v>
      </c>
      <c r="D28" s="118" t="str">
        <f>$B$6</f>
        <v>Crawley</v>
      </c>
      <c r="E28" s="100" t="s">
        <v>992</v>
      </c>
      <c r="F28" s="118" t="str">
        <f>$B$7</f>
        <v>Team Dorset</v>
      </c>
      <c r="G28" s="100" t="s">
        <v>992</v>
      </c>
      <c r="H28" s="118" t="str">
        <f>$B$8</f>
        <v>Tonbridge</v>
      </c>
      <c r="I28" s="100" t="s">
        <v>992</v>
      </c>
      <c r="V28"/>
    </row>
    <row r="29" spans="1:22" ht="12.75">
      <c r="A29" s="120" t="s">
        <v>908</v>
      </c>
      <c r="B29" s="118" t="str">
        <f>$B$5</f>
        <v>Epsom &amp; Ewell</v>
      </c>
      <c r="C29" s="100" t="s">
        <v>992</v>
      </c>
      <c r="D29" s="118" t="str">
        <f>$B$6</f>
        <v>Crawley</v>
      </c>
      <c r="E29" s="100" t="s">
        <v>992</v>
      </c>
      <c r="F29" s="118" t="str">
        <f>$B$7</f>
        <v>Team Dorset</v>
      </c>
      <c r="G29" s="100" t="s">
        <v>992</v>
      </c>
      <c r="H29" s="118" t="str">
        <f>$B$8</f>
        <v>Tonbridge</v>
      </c>
      <c r="I29" s="100" t="s">
        <v>992</v>
      </c>
      <c r="V29"/>
    </row>
    <row r="30" spans="1:22" ht="12.75">
      <c r="A30" s="120"/>
      <c r="B30" s="118" t="s">
        <v>974</v>
      </c>
      <c r="C30" s="124"/>
      <c r="D30" s="118" t="s">
        <v>974</v>
      </c>
      <c r="E30" s="124"/>
      <c r="F30" s="118" t="s">
        <v>974</v>
      </c>
      <c r="G30" s="124"/>
      <c r="H30" s="118" t="s">
        <v>974</v>
      </c>
      <c r="I30" s="124"/>
      <c r="V30"/>
    </row>
    <row r="31" spans="1:22" ht="12.75">
      <c r="A31" s="123" t="s">
        <v>981</v>
      </c>
      <c r="B31" s="160" t="s">
        <v>243</v>
      </c>
      <c r="C31" s="160" t="s">
        <v>645</v>
      </c>
      <c r="D31" s="160" t="s">
        <v>311</v>
      </c>
      <c r="E31" s="160" t="s">
        <v>947</v>
      </c>
      <c r="F31" s="160" t="s">
        <v>408</v>
      </c>
      <c r="G31" s="160" t="s">
        <v>946</v>
      </c>
      <c r="H31" s="157" t="s">
        <v>381</v>
      </c>
      <c r="I31" s="160" t="s">
        <v>947</v>
      </c>
      <c r="V31"/>
    </row>
    <row r="32" spans="1:22" ht="12.75">
      <c r="A32" s="123" t="s">
        <v>982</v>
      </c>
      <c r="B32" s="166" t="s">
        <v>246</v>
      </c>
      <c r="C32" s="160" t="s">
        <v>946</v>
      </c>
      <c r="D32" s="160" t="s">
        <v>311</v>
      </c>
      <c r="E32" s="160" t="s">
        <v>947</v>
      </c>
      <c r="F32" s="160" t="s">
        <v>401</v>
      </c>
      <c r="G32" s="160" t="s">
        <v>946</v>
      </c>
      <c r="H32" s="157" t="s">
        <v>382</v>
      </c>
      <c r="I32" s="160" t="s">
        <v>992</v>
      </c>
      <c r="V32"/>
    </row>
    <row r="33" spans="1:22" ht="12.75">
      <c r="A33" s="123" t="s">
        <v>983</v>
      </c>
      <c r="B33" s="166" t="s">
        <v>246</v>
      </c>
      <c r="C33" s="160" t="s">
        <v>946</v>
      </c>
      <c r="D33" s="160" t="s">
        <v>277</v>
      </c>
      <c r="E33" s="160" t="s">
        <v>946</v>
      </c>
      <c r="F33" s="160" t="s">
        <v>307</v>
      </c>
      <c r="G33" s="160" t="s">
        <v>998</v>
      </c>
      <c r="H33" s="160" t="s">
        <v>374</v>
      </c>
      <c r="I33" s="160" t="s">
        <v>645</v>
      </c>
      <c r="V33"/>
    </row>
    <row r="34" spans="1:22" ht="12.75">
      <c r="A34" s="123" t="s">
        <v>984</v>
      </c>
      <c r="B34" s="166" t="s">
        <v>247</v>
      </c>
      <c r="C34" s="160" t="s">
        <v>996</v>
      </c>
      <c r="D34" s="160" t="s">
        <v>284</v>
      </c>
      <c r="E34" s="160" t="s">
        <v>947</v>
      </c>
      <c r="F34" s="160" t="s">
        <v>404</v>
      </c>
      <c r="G34" s="160" t="s">
        <v>946</v>
      </c>
      <c r="H34" s="157" t="s">
        <v>383</v>
      </c>
      <c r="I34" s="160" t="s">
        <v>992</v>
      </c>
      <c r="V34"/>
    </row>
    <row r="35" spans="1:22" ht="12.75">
      <c r="A35" s="123" t="s">
        <v>985</v>
      </c>
      <c r="B35" s="166" t="s">
        <v>248</v>
      </c>
      <c r="C35" s="160" t="s">
        <v>946</v>
      </c>
      <c r="D35" s="160" t="s">
        <v>285</v>
      </c>
      <c r="E35" s="160" t="s">
        <v>997</v>
      </c>
      <c r="F35" s="160" t="s">
        <v>402</v>
      </c>
      <c r="G35" s="160" t="s">
        <v>993</v>
      </c>
      <c r="H35" s="157" t="s">
        <v>383</v>
      </c>
      <c r="I35" s="160" t="s">
        <v>992</v>
      </c>
      <c r="V35"/>
    </row>
    <row r="36" spans="1:22" ht="12.75">
      <c r="A36" s="123" t="str">
        <f>IF(INT(VALUE(MID($B$1,2,1))/2)*2=VALUE(MID($B$1,2,1)),"3000","5000")</f>
        <v>5000</v>
      </c>
      <c r="B36" s="166" t="s">
        <v>241</v>
      </c>
      <c r="C36" s="160" t="s">
        <v>992</v>
      </c>
      <c r="D36" s="160" t="s">
        <v>286</v>
      </c>
      <c r="E36" s="160" t="s">
        <v>992</v>
      </c>
      <c r="F36" s="160" t="s">
        <v>410</v>
      </c>
      <c r="G36" s="160" t="s">
        <v>946</v>
      </c>
      <c r="H36" s="157" t="s">
        <v>384</v>
      </c>
      <c r="I36" s="160" t="s">
        <v>992</v>
      </c>
      <c r="V36"/>
    </row>
    <row r="37" spans="1:22" ht="12.75">
      <c r="A37" s="120" t="s">
        <v>987</v>
      </c>
      <c r="B37" s="166"/>
      <c r="C37" s="160"/>
      <c r="D37" s="160" t="s">
        <v>287</v>
      </c>
      <c r="E37" s="160" t="s">
        <v>645</v>
      </c>
      <c r="F37" s="157"/>
      <c r="G37" s="160"/>
      <c r="H37" s="157" t="s">
        <v>385</v>
      </c>
      <c r="I37" s="160" t="s">
        <v>992</v>
      </c>
      <c r="V37"/>
    </row>
    <row r="38" spans="1:22" ht="12.75">
      <c r="A38" s="120" t="s">
        <v>986</v>
      </c>
      <c r="B38" s="166" t="s">
        <v>248</v>
      </c>
      <c r="C38" s="160" t="s">
        <v>946</v>
      </c>
      <c r="D38" s="160" t="s">
        <v>288</v>
      </c>
      <c r="E38" s="160" t="s">
        <v>947</v>
      </c>
      <c r="F38" s="160"/>
      <c r="G38" s="160"/>
      <c r="H38" s="157" t="s">
        <v>385</v>
      </c>
      <c r="I38" s="160" t="s">
        <v>992</v>
      </c>
      <c r="V38"/>
    </row>
    <row r="39" spans="1:22" ht="12.75">
      <c r="A39" s="123" t="str">
        <f>IF(INT(VALUE(MID($B$1,2,1))/2)*2=VALUE(MID($B$1,2,1)),"3000SC","2000SC")</f>
        <v>2000SC</v>
      </c>
      <c r="B39" s="166" t="s">
        <v>249</v>
      </c>
      <c r="C39" s="160" t="s">
        <v>992</v>
      </c>
      <c r="D39" s="160" t="s">
        <v>286</v>
      </c>
      <c r="E39" s="160" t="s">
        <v>992</v>
      </c>
      <c r="F39" s="160" t="s">
        <v>411</v>
      </c>
      <c r="G39" s="160" t="s">
        <v>946</v>
      </c>
      <c r="H39" s="160" t="s">
        <v>378</v>
      </c>
      <c r="I39" s="160" t="s">
        <v>992</v>
      </c>
      <c r="V39"/>
    </row>
    <row r="40" spans="1:22" ht="12.75">
      <c r="A40" s="120" t="s">
        <v>899</v>
      </c>
      <c r="B40" s="166" t="s">
        <v>245</v>
      </c>
      <c r="C40" s="160" t="s">
        <v>992</v>
      </c>
      <c r="D40" s="160" t="s">
        <v>282</v>
      </c>
      <c r="E40" s="160" t="s">
        <v>645</v>
      </c>
      <c r="F40" s="160" t="s">
        <v>410</v>
      </c>
      <c r="G40" s="160" t="s">
        <v>946</v>
      </c>
      <c r="H40" s="157" t="s">
        <v>387</v>
      </c>
      <c r="I40" s="160" t="s">
        <v>947</v>
      </c>
      <c r="V40"/>
    </row>
    <row r="41" spans="1:22" ht="12.75">
      <c r="A41" s="120" t="s">
        <v>905</v>
      </c>
      <c r="B41" s="166" t="s">
        <v>250</v>
      </c>
      <c r="C41" s="160"/>
      <c r="D41" s="160" t="s">
        <v>282</v>
      </c>
      <c r="E41" s="160" t="s">
        <v>645</v>
      </c>
      <c r="F41" s="160" t="s">
        <v>402</v>
      </c>
      <c r="G41" s="160" t="s">
        <v>993</v>
      </c>
      <c r="H41" s="157" t="s">
        <v>387</v>
      </c>
      <c r="I41" s="160" t="s">
        <v>947</v>
      </c>
      <c r="V41"/>
    </row>
    <row r="42" spans="1:22" ht="12.75">
      <c r="A42" s="120" t="s">
        <v>900</v>
      </c>
      <c r="B42" s="166" t="s">
        <v>244</v>
      </c>
      <c r="C42" s="160" t="s">
        <v>997</v>
      </c>
      <c r="D42" s="160" t="s">
        <v>288</v>
      </c>
      <c r="E42" s="160" t="s">
        <v>947</v>
      </c>
      <c r="F42" s="160" t="s">
        <v>408</v>
      </c>
      <c r="G42" s="160" t="s">
        <v>946</v>
      </c>
      <c r="H42" s="157" t="s">
        <v>387</v>
      </c>
      <c r="I42" s="160" t="s">
        <v>947</v>
      </c>
      <c r="V42"/>
    </row>
    <row r="43" spans="1:22" ht="12.75">
      <c r="A43" s="120" t="s">
        <v>901</v>
      </c>
      <c r="B43" s="166" t="s">
        <v>244</v>
      </c>
      <c r="C43" s="160" t="s">
        <v>997</v>
      </c>
      <c r="D43" s="160" t="s">
        <v>288</v>
      </c>
      <c r="E43" s="160" t="s">
        <v>947</v>
      </c>
      <c r="F43" s="160" t="s">
        <v>408</v>
      </c>
      <c r="G43" s="160" t="s">
        <v>946</v>
      </c>
      <c r="H43" s="160"/>
      <c r="I43" s="160" t="s">
        <v>946</v>
      </c>
      <c r="V43"/>
    </row>
    <row r="44" spans="1:22" ht="12.75">
      <c r="A44" s="120" t="s">
        <v>988</v>
      </c>
      <c r="B44" s="166" t="s">
        <v>249</v>
      </c>
      <c r="C44" s="160" t="s">
        <v>992</v>
      </c>
      <c r="D44" s="160" t="s">
        <v>288</v>
      </c>
      <c r="E44" s="160" t="s">
        <v>947</v>
      </c>
      <c r="F44" s="160" t="s">
        <v>412</v>
      </c>
      <c r="G44" s="160" t="s">
        <v>997</v>
      </c>
      <c r="H44" s="160" t="s">
        <v>337</v>
      </c>
      <c r="I44" s="160" t="s">
        <v>992</v>
      </c>
      <c r="V44"/>
    </row>
    <row r="45" spans="1:22" ht="12.75">
      <c r="A45" s="120" t="s">
        <v>989</v>
      </c>
      <c r="B45" s="166" t="s">
        <v>250</v>
      </c>
      <c r="C45" s="160"/>
      <c r="D45" s="160" t="s">
        <v>289</v>
      </c>
      <c r="E45" s="160" t="s">
        <v>992</v>
      </c>
      <c r="F45" s="160" t="s">
        <v>412</v>
      </c>
      <c r="G45" s="160" t="s">
        <v>997</v>
      </c>
      <c r="H45" s="160" t="s">
        <v>379</v>
      </c>
      <c r="I45" s="160" t="s">
        <v>947</v>
      </c>
      <c r="V45"/>
    </row>
    <row r="46" spans="1:22" ht="12.75">
      <c r="A46" s="120" t="s">
        <v>991</v>
      </c>
      <c r="B46" s="166" t="s">
        <v>250</v>
      </c>
      <c r="C46" s="160"/>
      <c r="D46" s="160" t="s">
        <v>289</v>
      </c>
      <c r="E46" s="160" t="s">
        <v>992</v>
      </c>
      <c r="F46" s="160" t="s">
        <v>412</v>
      </c>
      <c r="G46" s="160" t="s">
        <v>997</v>
      </c>
      <c r="H46" s="160" t="s">
        <v>337</v>
      </c>
      <c r="I46" s="160" t="s">
        <v>992</v>
      </c>
      <c r="V46"/>
    </row>
    <row r="47" spans="1:22" ht="13.5" thickBot="1">
      <c r="A47" s="120" t="s">
        <v>990</v>
      </c>
      <c r="B47" s="167" t="s">
        <v>243</v>
      </c>
      <c r="C47" s="161" t="s">
        <v>645</v>
      </c>
      <c r="D47" s="160" t="s">
        <v>288</v>
      </c>
      <c r="E47" s="161" t="s">
        <v>947</v>
      </c>
      <c r="F47" s="161" t="s">
        <v>412</v>
      </c>
      <c r="G47" s="161" t="s">
        <v>997</v>
      </c>
      <c r="H47" s="157" t="s">
        <v>387</v>
      </c>
      <c r="I47" s="161" t="s">
        <v>947</v>
      </c>
      <c r="V47"/>
    </row>
    <row r="48" spans="1:22" ht="12.75">
      <c r="A48" s="123"/>
      <c r="B48" s="121"/>
      <c r="C48" s="122"/>
      <c r="D48" s="121"/>
      <c r="E48" s="122"/>
      <c r="F48" s="121"/>
      <c r="G48" s="122"/>
      <c r="H48" s="121"/>
      <c r="I48" s="122"/>
      <c r="V48"/>
    </row>
    <row r="49" spans="1:22" ht="12.75">
      <c r="A49" s="117" t="s">
        <v>791</v>
      </c>
      <c r="B49" s="118" t="str">
        <f>$B$5</f>
        <v>Epsom &amp; Ewell</v>
      </c>
      <c r="C49" s="119" t="s">
        <v>941</v>
      </c>
      <c r="D49" s="118" t="str">
        <f>$B$6</f>
        <v>Crawley</v>
      </c>
      <c r="E49" s="119" t="s">
        <v>941</v>
      </c>
      <c r="F49" s="118" t="str">
        <f>$B$7</f>
        <v>Team Dorset</v>
      </c>
      <c r="G49" s="119" t="s">
        <v>941</v>
      </c>
      <c r="H49" s="118" t="str">
        <f>$B$8</f>
        <v>Tonbridge</v>
      </c>
      <c r="I49" s="119" t="s">
        <v>941</v>
      </c>
      <c r="V49"/>
    </row>
    <row r="50" spans="1:22" ht="12.75">
      <c r="A50" s="123" t="s">
        <v>981</v>
      </c>
      <c r="B50" s="163" t="s">
        <v>251</v>
      </c>
      <c r="C50" s="163" t="s">
        <v>946</v>
      </c>
      <c r="D50" s="97" t="s">
        <v>292</v>
      </c>
      <c r="E50" s="101" t="s">
        <v>947</v>
      </c>
      <c r="F50" s="163" t="s">
        <v>413</v>
      </c>
      <c r="G50" s="163" t="s">
        <v>946</v>
      </c>
      <c r="H50" s="162" t="s">
        <v>389</v>
      </c>
      <c r="I50" s="163" t="s">
        <v>947</v>
      </c>
      <c r="V50"/>
    </row>
    <row r="51" spans="1:22" ht="12.75">
      <c r="A51" s="123" t="s">
        <v>982</v>
      </c>
      <c r="B51" s="163" t="s">
        <v>251</v>
      </c>
      <c r="C51" s="163" t="s">
        <v>946</v>
      </c>
      <c r="D51" s="97" t="s">
        <v>292</v>
      </c>
      <c r="E51" s="101" t="s">
        <v>947</v>
      </c>
      <c r="F51" s="163" t="s">
        <v>417</v>
      </c>
      <c r="G51" s="163" t="s">
        <v>946</v>
      </c>
      <c r="H51" s="163" t="s">
        <v>305</v>
      </c>
      <c r="I51" s="163" t="s">
        <v>947</v>
      </c>
      <c r="V51"/>
    </row>
    <row r="52" spans="1:22" ht="12.75">
      <c r="A52" s="123" t="s">
        <v>983</v>
      </c>
      <c r="B52" s="163" t="s">
        <v>252</v>
      </c>
      <c r="C52" s="163" t="s">
        <v>743</v>
      </c>
      <c r="D52" s="97" t="s">
        <v>293</v>
      </c>
      <c r="E52" s="101" t="s">
        <v>947</v>
      </c>
      <c r="F52" s="163" t="s">
        <v>235</v>
      </c>
      <c r="G52" s="163" t="s">
        <v>946</v>
      </c>
      <c r="H52" s="162" t="s">
        <v>390</v>
      </c>
      <c r="I52" s="163" t="s">
        <v>947</v>
      </c>
      <c r="V52"/>
    </row>
    <row r="53" spans="1:22" ht="12.75">
      <c r="A53" s="123" t="s">
        <v>984</v>
      </c>
      <c r="B53" s="163" t="s">
        <v>253</v>
      </c>
      <c r="C53" s="163" t="s">
        <v>743</v>
      </c>
      <c r="D53" s="97" t="s">
        <v>294</v>
      </c>
      <c r="E53" s="101" t="s">
        <v>946</v>
      </c>
      <c r="F53" s="163" t="s">
        <v>414</v>
      </c>
      <c r="G53" s="163" t="s">
        <v>946</v>
      </c>
      <c r="H53" s="162" t="s">
        <v>391</v>
      </c>
      <c r="I53" s="163" t="s">
        <v>946</v>
      </c>
      <c r="V53"/>
    </row>
    <row r="54" spans="1:22" ht="12.75">
      <c r="A54" s="123" t="s">
        <v>985</v>
      </c>
      <c r="B54" s="163" t="s">
        <v>254</v>
      </c>
      <c r="C54" s="163" t="s">
        <v>858</v>
      </c>
      <c r="D54" s="97" t="s">
        <v>295</v>
      </c>
      <c r="E54" s="101" t="s">
        <v>858</v>
      </c>
      <c r="F54" s="163" t="s">
        <v>415</v>
      </c>
      <c r="G54" s="163" t="s">
        <v>946</v>
      </c>
      <c r="H54" s="162" t="s">
        <v>392</v>
      </c>
      <c r="I54" s="163" t="s">
        <v>946</v>
      </c>
      <c r="V54"/>
    </row>
    <row r="55" spans="1:22" ht="12.75">
      <c r="A55" s="123" t="s">
        <v>857</v>
      </c>
      <c r="B55" s="163" t="s">
        <v>254</v>
      </c>
      <c r="C55" s="163" t="s">
        <v>858</v>
      </c>
      <c r="D55" s="97" t="s">
        <v>649</v>
      </c>
      <c r="E55" s="101" t="s">
        <v>858</v>
      </c>
      <c r="F55" s="163" t="s">
        <v>416</v>
      </c>
      <c r="G55" s="163" t="s">
        <v>743</v>
      </c>
      <c r="H55" s="162" t="s">
        <v>393</v>
      </c>
      <c r="I55" s="163" t="s">
        <v>947</v>
      </c>
      <c r="V55"/>
    </row>
    <row r="56" spans="1:22" ht="12.75">
      <c r="A56" s="120" t="s">
        <v>860</v>
      </c>
      <c r="B56" s="163" t="s">
        <v>255</v>
      </c>
      <c r="C56" s="163" t="s">
        <v>858</v>
      </c>
      <c r="D56" s="97" t="s">
        <v>296</v>
      </c>
      <c r="E56" s="101" t="s">
        <v>858</v>
      </c>
      <c r="F56" s="162"/>
      <c r="G56" s="163"/>
      <c r="H56" s="162" t="s">
        <v>394</v>
      </c>
      <c r="I56" s="163" t="s">
        <v>946</v>
      </c>
      <c r="V56"/>
    </row>
    <row r="57" spans="1:22" ht="12.75">
      <c r="A57" s="120" t="s">
        <v>859</v>
      </c>
      <c r="B57" s="163" t="s">
        <v>256</v>
      </c>
      <c r="C57" s="163" t="s">
        <v>743</v>
      </c>
      <c r="D57" s="97" t="s">
        <v>297</v>
      </c>
      <c r="E57" s="101" t="s">
        <v>645</v>
      </c>
      <c r="F57" s="162"/>
      <c r="G57" s="163"/>
      <c r="H57" s="162"/>
      <c r="I57" s="163" t="s">
        <v>645</v>
      </c>
      <c r="V57"/>
    </row>
    <row r="58" spans="1:22" ht="12.75">
      <c r="A58" s="123" t="str">
        <f>IF(INT(VALUE(MID($B$1,2,1))/2)*2=VALUE(MID($B$1,2,1)),"2000SCW","1500SCW")</f>
        <v>1500SCW</v>
      </c>
      <c r="B58" s="163" t="s">
        <v>253</v>
      </c>
      <c r="C58" s="163" t="s">
        <v>743</v>
      </c>
      <c r="D58" s="97" t="s">
        <v>293</v>
      </c>
      <c r="E58" s="101" t="s">
        <v>947</v>
      </c>
      <c r="F58" s="162"/>
      <c r="G58" s="163"/>
      <c r="H58" s="163" t="s">
        <v>397</v>
      </c>
      <c r="I58" s="163" t="s">
        <v>946</v>
      </c>
      <c r="V58"/>
    </row>
    <row r="59" spans="1:22" ht="12.75">
      <c r="A59" s="120" t="s">
        <v>899</v>
      </c>
      <c r="B59" s="163" t="s">
        <v>256</v>
      </c>
      <c r="C59" s="163" t="s">
        <v>743</v>
      </c>
      <c r="D59" s="97" t="s">
        <v>296</v>
      </c>
      <c r="E59" s="101" t="s">
        <v>858</v>
      </c>
      <c r="F59" s="163" t="s">
        <v>417</v>
      </c>
      <c r="G59" s="163" t="s">
        <v>946</v>
      </c>
      <c r="H59" s="162" t="s">
        <v>389</v>
      </c>
      <c r="I59" s="163" t="s">
        <v>947</v>
      </c>
      <c r="V59"/>
    </row>
    <row r="60" spans="1:22" ht="12.75">
      <c r="A60" s="120" t="s">
        <v>905</v>
      </c>
      <c r="B60" s="163" t="s">
        <v>256</v>
      </c>
      <c r="C60" s="163" t="s">
        <v>743</v>
      </c>
      <c r="D60" s="97" t="s">
        <v>298</v>
      </c>
      <c r="E60" s="101" t="s">
        <v>858</v>
      </c>
      <c r="F60" s="163" t="s">
        <v>418</v>
      </c>
      <c r="G60" s="163" t="s">
        <v>743</v>
      </c>
      <c r="H60" s="162"/>
      <c r="I60" s="163" t="s">
        <v>946</v>
      </c>
      <c r="V60"/>
    </row>
    <row r="61" spans="1:22" ht="12.75">
      <c r="A61" s="120" t="s">
        <v>900</v>
      </c>
      <c r="B61" s="163" t="s">
        <v>253</v>
      </c>
      <c r="C61" s="163" t="s">
        <v>743</v>
      </c>
      <c r="D61" s="97" t="s">
        <v>296</v>
      </c>
      <c r="E61" s="101" t="s">
        <v>858</v>
      </c>
      <c r="F61" s="163" t="s">
        <v>417</v>
      </c>
      <c r="G61" s="163" t="s">
        <v>946</v>
      </c>
      <c r="H61" s="162" t="s">
        <v>389</v>
      </c>
      <c r="I61" s="163" t="s">
        <v>947</v>
      </c>
      <c r="V61"/>
    </row>
    <row r="62" spans="1:22" ht="12.75">
      <c r="A62" s="120" t="s">
        <v>901</v>
      </c>
      <c r="B62" s="163" t="s">
        <v>253</v>
      </c>
      <c r="C62" s="163" t="s">
        <v>743</v>
      </c>
      <c r="D62" s="97" t="s">
        <v>298</v>
      </c>
      <c r="E62" s="101" t="s">
        <v>858</v>
      </c>
      <c r="F62" s="162"/>
      <c r="G62" s="163"/>
      <c r="H62" s="162" t="s">
        <v>395</v>
      </c>
      <c r="I62" s="163" t="s">
        <v>946</v>
      </c>
      <c r="V62"/>
    </row>
    <row r="63" spans="1:22" ht="12.75">
      <c r="A63" s="120" t="s">
        <v>855</v>
      </c>
      <c r="B63" s="163" t="s">
        <v>253</v>
      </c>
      <c r="C63" s="163" t="s">
        <v>743</v>
      </c>
      <c r="D63" s="97" t="s">
        <v>296</v>
      </c>
      <c r="E63" s="101" t="s">
        <v>858</v>
      </c>
      <c r="F63" s="163" t="s">
        <v>308</v>
      </c>
      <c r="G63" s="163" t="s">
        <v>946</v>
      </c>
      <c r="H63" s="162" t="s">
        <v>396</v>
      </c>
      <c r="I63" s="163" t="s">
        <v>947</v>
      </c>
      <c r="V63"/>
    </row>
    <row r="64" spans="1:22" ht="12.75">
      <c r="A64" s="120" t="s">
        <v>853</v>
      </c>
      <c r="B64" s="163" t="s">
        <v>257</v>
      </c>
      <c r="C64" s="163" t="s">
        <v>745</v>
      </c>
      <c r="D64" s="97" t="s">
        <v>297</v>
      </c>
      <c r="E64" s="101" t="s">
        <v>645</v>
      </c>
      <c r="F64" s="163" t="s">
        <v>238</v>
      </c>
      <c r="G64" s="163" t="s">
        <v>946</v>
      </c>
      <c r="H64" s="162" t="s">
        <v>396</v>
      </c>
      <c r="I64" s="163" t="s">
        <v>947</v>
      </c>
      <c r="V64"/>
    </row>
    <row r="65" spans="1:22" ht="12.75">
      <c r="A65" s="120" t="s">
        <v>852</v>
      </c>
      <c r="B65" s="163" t="s">
        <v>258</v>
      </c>
      <c r="C65" s="163" t="s">
        <v>745</v>
      </c>
      <c r="D65" s="97" t="s">
        <v>297</v>
      </c>
      <c r="E65" s="101" t="s">
        <v>645</v>
      </c>
      <c r="F65" s="163" t="s">
        <v>235</v>
      </c>
      <c r="G65" s="163" t="s">
        <v>946</v>
      </c>
      <c r="H65" s="162" t="s">
        <v>396</v>
      </c>
      <c r="I65" s="163" t="s">
        <v>947</v>
      </c>
      <c r="V65"/>
    </row>
    <row r="66" spans="1:22" ht="12.75">
      <c r="A66" s="120" t="s">
        <v>854</v>
      </c>
      <c r="B66" s="163" t="s">
        <v>259</v>
      </c>
      <c r="C66" s="163" t="s">
        <v>743</v>
      </c>
      <c r="D66" s="97" t="s">
        <v>296</v>
      </c>
      <c r="E66" s="101" t="s">
        <v>858</v>
      </c>
      <c r="F66" s="163" t="s">
        <v>418</v>
      </c>
      <c r="G66" s="163" t="s">
        <v>743</v>
      </c>
      <c r="H66" s="162" t="s">
        <v>390</v>
      </c>
      <c r="I66" s="163" t="s">
        <v>947</v>
      </c>
      <c r="V66"/>
    </row>
    <row r="67" spans="1:22" ht="12.75">
      <c r="A67" s="120" t="s">
        <v>907</v>
      </c>
      <c r="B67" s="118" t="str">
        <f>$B$5</f>
        <v>Epsom &amp; Ewell</v>
      </c>
      <c r="C67" s="101" t="s">
        <v>858</v>
      </c>
      <c r="D67" s="118" t="str">
        <f>$B$6</f>
        <v>Crawley</v>
      </c>
      <c r="E67" s="101" t="s">
        <v>858</v>
      </c>
      <c r="F67" s="118" t="str">
        <f>$B$7</f>
        <v>Team Dorset</v>
      </c>
      <c r="G67" s="101" t="s">
        <v>858</v>
      </c>
      <c r="H67" s="118" t="str">
        <f>$B$8</f>
        <v>Tonbridge</v>
      </c>
      <c r="I67" s="101" t="s">
        <v>858</v>
      </c>
      <c r="V67"/>
    </row>
    <row r="68" spans="1:22" ht="12.75">
      <c r="A68" s="120" t="s">
        <v>908</v>
      </c>
      <c r="B68" s="118" t="str">
        <f>$B$5</f>
        <v>Epsom &amp; Ewell</v>
      </c>
      <c r="C68" s="101" t="s">
        <v>858</v>
      </c>
      <c r="D68" s="118" t="str">
        <f>$B$6</f>
        <v>Crawley</v>
      </c>
      <c r="E68" s="101" t="s">
        <v>858</v>
      </c>
      <c r="F68" s="118" t="str">
        <f>$B$7</f>
        <v>Team Dorset</v>
      </c>
      <c r="G68" s="101" t="s">
        <v>858</v>
      </c>
      <c r="H68" s="118" t="str">
        <f>$B$8</f>
        <v>Tonbridge</v>
      </c>
      <c r="I68" s="101" t="s">
        <v>858</v>
      </c>
      <c r="V68"/>
    </row>
    <row r="69" spans="1:22" ht="12.75">
      <c r="A69" s="120"/>
      <c r="B69" s="118" t="s">
        <v>974</v>
      </c>
      <c r="C69" s="124"/>
      <c r="D69" s="118" t="s">
        <v>974</v>
      </c>
      <c r="E69" s="124"/>
      <c r="F69" s="118" t="s">
        <v>974</v>
      </c>
      <c r="G69" s="124"/>
      <c r="H69" s="118" t="s">
        <v>974</v>
      </c>
      <c r="I69" s="124"/>
      <c r="V69"/>
    </row>
    <row r="70" spans="1:22" ht="12.75">
      <c r="A70" s="123" t="s">
        <v>981</v>
      </c>
      <c r="B70" s="163" t="s">
        <v>260</v>
      </c>
      <c r="C70" s="163" t="s">
        <v>946</v>
      </c>
      <c r="D70" s="97" t="s">
        <v>299</v>
      </c>
      <c r="E70" s="101" t="s">
        <v>946</v>
      </c>
      <c r="F70" s="163" t="s">
        <v>237</v>
      </c>
      <c r="G70" s="163" t="s">
        <v>946</v>
      </c>
      <c r="H70" s="162" t="s">
        <v>394</v>
      </c>
      <c r="I70" s="163" t="s">
        <v>946</v>
      </c>
      <c r="V70"/>
    </row>
    <row r="71" spans="1:22" ht="12.75">
      <c r="A71" s="123" t="s">
        <v>982</v>
      </c>
      <c r="B71" s="163" t="s">
        <v>260</v>
      </c>
      <c r="C71" s="163" t="s">
        <v>946</v>
      </c>
      <c r="D71" s="97" t="s">
        <v>300</v>
      </c>
      <c r="E71" s="101" t="s">
        <v>645</v>
      </c>
      <c r="F71" s="163" t="s">
        <v>418</v>
      </c>
      <c r="G71" s="163" t="s">
        <v>743</v>
      </c>
      <c r="H71" s="163" t="s">
        <v>390</v>
      </c>
      <c r="I71" s="163" t="s">
        <v>947</v>
      </c>
      <c r="V71"/>
    </row>
    <row r="72" spans="1:22" ht="12.75">
      <c r="A72" s="123" t="s">
        <v>983</v>
      </c>
      <c r="B72" s="163" t="s">
        <v>261</v>
      </c>
      <c r="C72" s="163" t="s">
        <v>947</v>
      </c>
      <c r="D72" s="97" t="s">
        <v>299</v>
      </c>
      <c r="E72" s="101" t="s">
        <v>946</v>
      </c>
      <c r="F72" s="163" t="s">
        <v>414</v>
      </c>
      <c r="G72" s="163" t="s">
        <v>946</v>
      </c>
      <c r="H72" s="162" t="s">
        <v>391</v>
      </c>
      <c r="I72" s="163" t="s">
        <v>946</v>
      </c>
      <c r="V72"/>
    </row>
    <row r="73" spans="1:22" ht="12.75">
      <c r="A73" s="123" t="s">
        <v>984</v>
      </c>
      <c r="B73" s="163" t="s">
        <v>262</v>
      </c>
      <c r="C73" s="163" t="s">
        <v>858</v>
      </c>
      <c r="D73" s="97" t="s">
        <v>301</v>
      </c>
      <c r="E73" s="101" t="s">
        <v>946</v>
      </c>
      <c r="F73" s="163" t="s">
        <v>416</v>
      </c>
      <c r="G73" s="163" t="s">
        <v>743</v>
      </c>
      <c r="H73" s="162" t="s">
        <v>397</v>
      </c>
      <c r="I73" s="163" t="s">
        <v>946</v>
      </c>
      <c r="V73"/>
    </row>
    <row r="74" spans="1:22" ht="12">
      <c r="A74" s="123" t="s">
        <v>985</v>
      </c>
      <c r="B74" s="163" t="s">
        <v>105</v>
      </c>
      <c r="C74" s="163" t="s">
        <v>946</v>
      </c>
      <c r="D74" s="97" t="s">
        <v>302</v>
      </c>
      <c r="E74" s="101" t="s">
        <v>858</v>
      </c>
      <c r="F74" s="163" t="s">
        <v>237</v>
      </c>
      <c r="G74" s="163" t="s">
        <v>946</v>
      </c>
      <c r="H74" s="163" t="s">
        <v>391</v>
      </c>
      <c r="I74" s="163" t="s">
        <v>946</v>
      </c>
      <c r="V74"/>
    </row>
    <row r="75" spans="1:22" ht="12">
      <c r="A75" s="123" t="s">
        <v>857</v>
      </c>
      <c r="B75" s="163" t="s">
        <v>263</v>
      </c>
      <c r="C75" s="163" t="s">
        <v>858</v>
      </c>
      <c r="D75" s="97" t="s">
        <v>649</v>
      </c>
      <c r="E75" s="101" t="s">
        <v>858</v>
      </c>
      <c r="F75" s="162"/>
      <c r="G75" s="163"/>
      <c r="H75" s="162" t="s">
        <v>398</v>
      </c>
      <c r="I75" s="163" t="s">
        <v>858</v>
      </c>
      <c r="V75"/>
    </row>
    <row r="76" spans="1:22" ht="12">
      <c r="A76" s="120" t="s">
        <v>860</v>
      </c>
      <c r="B76" s="162" t="s">
        <v>649</v>
      </c>
      <c r="C76" s="163"/>
      <c r="D76" s="97" t="s">
        <v>302</v>
      </c>
      <c r="E76" s="101" t="s">
        <v>858</v>
      </c>
      <c r="F76" s="162"/>
      <c r="G76" s="163"/>
      <c r="H76" s="163" t="s">
        <v>389</v>
      </c>
      <c r="I76" s="163" t="s">
        <v>947</v>
      </c>
      <c r="V76"/>
    </row>
    <row r="77" spans="1:22" ht="12">
      <c r="A77" s="120" t="s">
        <v>859</v>
      </c>
      <c r="B77" s="163" t="s">
        <v>255</v>
      </c>
      <c r="C77" s="163" t="s">
        <v>858</v>
      </c>
      <c r="D77" s="97" t="s">
        <v>649</v>
      </c>
      <c r="E77" s="101" t="s">
        <v>858</v>
      </c>
      <c r="F77" s="162"/>
      <c r="G77" s="163"/>
      <c r="H77" s="162" t="s">
        <v>400</v>
      </c>
      <c r="I77" s="163" t="s">
        <v>645</v>
      </c>
      <c r="V77"/>
    </row>
    <row r="78" spans="1:22" ht="12">
      <c r="A78" s="123" t="str">
        <f>IF(INT(VALUE(MID($B$1,2,1))/2)*2=VALUE(MID($B$1,2,1)),"2000SCW","1500SCW")</f>
        <v>1500SCW</v>
      </c>
      <c r="B78" s="163" t="s">
        <v>264</v>
      </c>
      <c r="C78" s="163" t="s">
        <v>858</v>
      </c>
      <c r="D78" s="97" t="s">
        <v>296</v>
      </c>
      <c r="E78" s="101" t="s">
        <v>858</v>
      </c>
      <c r="F78" s="162"/>
      <c r="G78" s="163"/>
      <c r="H78" s="163" t="s">
        <v>393</v>
      </c>
      <c r="I78" s="163" t="s">
        <v>947</v>
      </c>
      <c r="V78"/>
    </row>
    <row r="79" spans="1:22" ht="12">
      <c r="A79" s="120" t="s">
        <v>899</v>
      </c>
      <c r="B79" s="163" t="s">
        <v>255</v>
      </c>
      <c r="C79" s="163" t="s">
        <v>858</v>
      </c>
      <c r="D79" s="97" t="s">
        <v>302</v>
      </c>
      <c r="E79" s="101" t="s">
        <v>858</v>
      </c>
      <c r="F79" s="163" t="s">
        <v>235</v>
      </c>
      <c r="G79" s="163" t="s">
        <v>946</v>
      </c>
      <c r="H79" s="162" t="s">
        <v>394</v>
      </c>
      <c r="I79" s="163" t="s">
        <v>946</v>
      </c>
      <c r="V79"/>
    </row>
    <row r="80" spans="1:22" ht="12">
      <c r="A80" s="120" t="s">
        <v>905</v>
      </c>
      <c r="B80" s="163" t="s">
        <v>255</v>
      </c>
      <c r="C80" s="163" t="s">
        <v>858</v>
      </c>
      <c r="D80" s="97" t="s">
        <v>302</v>
      </c>
      <c r="E80" s="101" t="s">
        <v>858</v>
      </c>
      <c r="F80" s="163"/>
      <c r="G80" s="163"/>
      <c r="H80" s="162"/>
      <c r="I80" s="163" t="s">
        <v>947</v>
      </c>
      <c r="V80"/>
    </row>
    <row r="81" spans="1:22" ht="12">
      <c r="A81" s="120" t="s">
        <v>900</v>
      </c>
      <c r="B81" s="163" t="s">
        <v>306</v>
      </c>
      <c r="C81" s="163" t="s">
        <v>858</v>
      </c>
      <c r="D81" s="97" t="s">
        <v>302</v>
      </c>
      <c r="E81" s="101" t="s">
        <v>858</v>
      </c>
      <c r="F81" s="163" t="s">
        <v>237</v>
      </c>
      <c r="G81" s="163" t="s">
        <v>946</v>
      </c>
      <c r="H81" s="163" t="s">
        <v>395</v>
      </c>
      <c r="I81" s="163" t="s">
        <v>946</v>
      </c>
      <c r="V81"/>
    </row>
    <row r="82" spans="1:22" ht="12">
      <c r="A82" s="120" t="s">
        <v>901</v>
      </c>
      <c r="B82" s="163" t="s">
        <v>255</v>
      </c>
      <c r="C82" s="163" t="s">
        <v>858</v>
      </c>
      <c r="D82" s="97" t="s">
        <v>293</v>
      </c>
      <c r="E82" s="101" t="s">
        <v>947</v>
      </c>
      <c r="F82" s="162"/>
      <c r="G82" s="163"/>
      <c r="H82" s="162" t="s">
        <v>400</v>
      </c>
      <c r="I82" s="163" t="s">
        <v>645</v>
      </c>
      <c r="V82"/>
    </row>
    <row r="83" spans="1:22" ht="12">
      <c r="A83" s="120" t="s">
        <v>855</v>
      </c>
      <c r="B83" s="163" t="s">
        <v>265</v>
      </c>
      <c r="C83" s="163" t="s">
        <v>947</v>
      </c>
      <c r="D83" s="97" t="s">
        <v>297</v>
      </c>
      <c r="E83" s="101" t="s">
        <v>858</v>
      </c>
      <c r="F83" s="163" t="s">
        <v>238</v>
      </c>
      <c r="G83" s="163" t="s">
        <v>946</v>
      </c>
      <c r="H83" s="163" t="s">
        <v>400</v>
      </c>
      <c r="I83" s="163" t="s">
        <v>645</v>
      </c>
      <c r="V83"/>
    </row>
    <row r="84" spans="1:22" ht="12">
      <c r="A84" s="120" t="s">
        <v>853</v>
      </c>
      <c r="B84" s="163" t="s">
        <v>265</v>
      </c>
      <c r="C84" s="163" t="s">
        <v>947</v>
      </c>
      <c r="D84" s="97" t="s">
        <v>296</v>
      </c>
      <c r="E84" s="101" t="s">
        <v>858</v>
      </c>
      <c r="F84" s="163" t="s">
        <v>414</v>
      </c>
      <c r="G84" s="163" t="s">
        <v>946</v>
      </c>
      <c r="H84" s="163" t="s">
        <v>400</v>
      </c>
      <c r="I84" s="163" t="s">
        <v>645</v>
      </c>
      <c r="V84"/>
    </row>
    <row r="85" spans="1:22" ht="12">
      <c r="A85" s="120" t="s">
        <v>852</v>
      </c>
      <c r="B85" s="163" t="s">
        <v>265</v>
      </c>
      <c r="C85" s="163" t="s">
        <v>947</v>
      </c>
      <c r="D85" s="97" t="s">
        <v>295</v>
      </c>
      <c r="E85" s="101" t="s">
        <v>858</v>
      </c>
      <c r="F85" s="163" t="s">
        <v>236</v>
      </c>
      <c r="G85" s="163" t="s">
        <v>743</v>
      </c>
      <c r="H85" s="162" t="s">
        <v>399</v>
      </c>
      <c r="I85" s="163" t="s">
        <v>947</v>
      </c>
      <c r="V85"/>
    </row>
    <row r="86" spans="1:22" ht="12.75" thickBot="1">
      <c r="A86" s="120" t="s">
        <v>854</v>
      </c>
      <c r="B86" s="164" t="s">
        <v>256</v>
      </c>
      <c r="C86" s="164" t="s">
        <v>743</v>
      </c>
      <c r="D86" s="97" t="s">
        <v>303</v>
      </c>
      <c r="E86" s="101" t="s">
        <v>858</v>
      </c>
      <c r="F86" s="164" t="s">
        <v>238</v>
      </c>
      <c r="G86" s="164" t="s">
        <v>946</v>
      </c>
      <c r="H86" s="162" t="s">
        <v>395</v>
      </c>
      <c r="I86" s="164" t="s">
        <v>946</v>
      </c>
      <c r="V86"/>
    </row>
    <row r="87" spans="1:8" ht="12">
      <c r="A87" s="120" t="s">
        <v>588</v>
      </c>
      <c r="B87" s="141" t="s">
        <v>47</v>
      </c>
      <c r="D87" s="99"/>
      <c r="F87" s="99"/>
      <c r="H87" s="99" t="s">
        <v>266</v>
      </c>
    </row>
    <row r="88" spans="1:8" ht="12">
      <c r="A88" s="120" t="s">
        <v>589</v>
      </c>
      <c r="B88" s="99" t="s">
        <v>48</v>
      </c>
      <c r="D88" s="99" t="s">
        <v>58</v>
      </c>
      <c r="F88" s="99" t="s">
        <v>49</v>
      </c>
      <c r="H88" s="99" t="s">
        <v>50</v>
      </c>
    </row>
    <row r="89" spans="1:8" ht="12">
      <c r="A89" s="120" t="s">
        <v>590</v>
      </c>
      <c r="B89" s="99" t="s">
        <v>51</v>
      </c>
      <c r="D89" s="99" t="s">
        <v>55</v>
      </c>
      <c r="F89" s="99" t="s">
        <v>53</v>
      </c>
      <c r="H89" s="99" t="s">
        <v>267</v>
      </c>
    </row>
    <row r="90" spans="1:8" ht="12">
      <c r="A90" s="120" t="s">
        <v>590</v>
      </c>
      <c r="B90" s="99" t="s">
        <v>52</v>
      </c>
      <c r="D90" s="99" t="s">
        <v>56</v>
      </c>
      <c r="F90" s="99" t="s">
        <v>54</v>
      </c>
      <c r="H90" s="99" t="s">
        <v>57</v>
      </c>
    </row>
    <row r="91" spans="1:8" ht="12">
      <c r="A91" s="120"/>
      <c r="B91" s="113"/>
      <c r="C91" s="113"/>
      <c r="D91" s="113"/>
      <c r="E91" s="113"/>
      <c r="F91" s="113"/>
      <c r="G91" s="113"/>
      <c r="H91" s="113"/>
    </row>
    <row r="92" spans="1:8" ht="12">
      <c r="A92" s="120"/>
      <c r="B92" s="113" t="s">
        <v>638</v>
      </c>
      <c r="C92" s="113"/>
      <c r="D92" s="113"/>
      <c r="E92" s="113"/>
      <c r="F92" s="113"/>
      <c r="G92" s="113"/>
      <c r="H92" s="113"/>
    </row>
    <row r="93" spans="1:8" ht="12">
      <c r="A93" s="120"/>
      <c r="B93" s="156" t="s">
        <v>461</v>
      </c>
      <c r="C93" s="156" t="s">
        <v>614</v>
      </c>
      <c r="D93" s="113"/>
      <c r="E93" s="113"/>
      <c r="F93" s="113"/>
      <c r="G93" s="113"/>
      <c r="H93" s="113"/>
    </row>
    <row r="94" spans="1:8" ht="12">
      <c r="A94" s="120"/>
      <c r="B94" s="156" t="s">
        <v>659</v>
      </c>
      <c r="C94" s="156" t="s">
        <v>612</v>
      </c>
      <c r="D94" s="113"/>
      <c r="E94" s="113"/>
      <c r="F94" s="113"/>
      <c r="G94" s="113"/>
      <c r="H94" s="113"/>
    </row>
    <row r="95" spans="1:8" ht="12">
      <c r="A95" s="120"/>
      <c r="B95" s="156" t="s">
        <v>598</v>
      </c>
      <c r="C95" s="156" t="s">
        <v>610</v>
      </c>
      <c r="D95" s="113"/>
      <c r="E95" s="113"/>
      <c r="F95" s="113"/>
      <c r="G95" s="113"/>
      <c r="H95" s="113"/>
    </row>
    <row r="96" spans="1:8" ht="12">
      <c r="A96" s="120"/>
      <c r="B96" s="156" t="s">
        <v>430</v>
      </c>
      <c r="C96" s="156" t="s">
        <v>937</v>
      </c>
      <c r="D96" s="113"/>
      <c r="E96" s="113"/>
      <c r="F96" s="113"/>
      <c r="G96" s="113"/>
      <c r="H96" s="113"/>
    </row>
    <row r="97" spans="1:8" ht="12">
      <c r="A97" s="120"/>
      <c r="B97" s="156" t="s">
        <v>596</v>
      </c>
      <c r="C97" s="156" t="s">
        <v>944</v>
      </c>
      <c r="D97" s="113"/>
      <c r="E97" s="113"/>
      <c r="F97" s="113"/>
      <c r="G97" s="113"/>
      <c r="H97" s="113"/>
    </row>
    <row r="98" spans="1:8" ht="12">
      <c r="A98" s="120"/>
      <c r="B98" s="156" t="s">
        <v>621</v>
      </c>
      <c r="C98" s="156" t="s">
        <v>615</v>
      </c>
      <c r="D98" s="113"/>
      <c r="E98" s="113"/>
      <c r="F98" s="113"/>
      <c r="G98" s="113"/>
      <c r="H98" s="113"/>
    </row>
    <row r="99" spans="1:8" ht="12">
      <c r="A99" s="120"/>
      <c r="B99" s="156" t="s">
        <v>442</v>
      </c>
      <c r="C99" s="156" t="s">
        <v>635</v>
      </c>
      <c r="D99" s="113"/>
      <c r="E99" s="113"/>
      <c r="F99" s="113"/>
      <c r="G99" s="113"/>
      <c r="H99" s="113"/>
    </row>
    <row r="100" spans="1:8" ht="12">
      <c r="A100" s="120"/>
      <c r="B100" s="156" t="s">
        <v>419</v>
      </c>
      <c r="C100" s="156" t="s">
        <v>634</v>
      </c>
      <c r="D100" s="113"/>
      <c r="E100" s="113"/>
      <c r="F100" s="113"/>
      <c r="G100" s="113"/>
      <c r="H100" s="113"/>
    </row>
    <row r="101" spans="1:8" ht="12">
      <c r="A101" s="120"/>
      <c r="B101" s="156" t="s">
        <v>627</v>
      </c>
      <c r="C101" s="156" t="s">
        <v>637</v>
      </c>
      <c r="D101" s="113"/>
      <c r="E101" s="113"/>
      <c r="F101" s="113"/>
      <c r="G101" s="113"/>
      <c r="H101" s="113"/>
    </row>
    <row r="102" spans="1:8" ht="12">
      <c r="A102" s="120"/>
      <c r="B102" s="156" t="s">
        <v>604</v>
      </c>
      <c r="C102" s="156" t="s">
        <v>611</v>
      </c>
      <c r="D102" s="113"/>
      <c r="E102" s="113"/>
      <c r="F102" s="113"/>
      <c r="G102" s="113"/>
      <c r="H102" s="113"/>
    </row>
    <row r="103" spans="1:8" ht="12">
      <c r="A103" s="120"/>
      <c r="B103" s="156" t="s">
        <v>371</v>
      </c>
      <c r="C103" s="156" t="s">
        <v>613</v>
      </c>
      <c r="D103" s="113"/>
      <c r="E103" s="113"/>
      <c r="F103" s="113"/>
      <c r="G103" s="113"/>
      <c r="H103" s="113"/>
    </row>
    <row r="104" spans="1:8" ht="12">
      <c r="A104" s="120"/>
      <c r="B104" s="156" t="s">
        <v>606</v>
      </c>
      <c r="C104" s="156" t="s">
        <v>636</v>
      </c>
      <c r="D104" s="113"/>
      <c r="E104" s="113"/>
      <c r="F104" s="113"/>
      <c r="G104" s="113"/>
      <c r="H104" s="113"/>
    </row>
    <row r="105" spans="1:8" ht="12">
      <c r="A105" s="120"/>
      <c r="B105" s="156" t="s">
        <v>438</v>
      </c>
      <c r="C105" s="156" t="s">
        <v>616</v>
      </c>
      <c r="D105" s="113"/>
      <c r="E105" s="113"/>
      <c r="F105" s="113"/>
      <c r="G105" s="113"/>
      <c r="H105" s="113"/>
    </row>
    <row r="106" spans="1:8" ht="12">
      <c r="A106" s="120"/>
      <c r="B106" s="156" t="s">
        <v>594</v>
      </c>
      <c r="C106" s="156" t="s">
        <v>617</v>
      </c>
      <c r="D106" s="113"/>
      <c r="E106" s="113"/>
      <c r="F106" s="113"/>
      <c r="G106" s="113"/>
      <c r="H106" s="113"/>
    </row>
    <row r="107" spans="1:8" ht="12">
      <c r="A107" s="120"/>
      <c r="B107" s="156" t="s">
        <v>607</v>
      </c>
      <c r="C107" s="156" t="s">
        <v>618</v>
      </c>
      <c r="D107" s="113"/>
      <c r="E107" s="113"/>
      <c r="F107" s="113"/>
      <c r="G107" s="113"/>
      <c r="H107" s="113"/>
    </row>
    <row r="108" spans="1:8" ht="12">
      <c r="A108" s="120"/>
      <c r="B108" s="156" t="s">
        <v>595</v>
      </c>
      <c r="C108" s="156" t="s">
        <v>619</v>
      </c>
      <c r="D108" s="113"/>
      <c r="E108" s="113"/>
      <c r="F108" s="113"/>
      <c r="G108" s="113"/>
      <c r="H108" s="113"/>
    </row>
    <row r="109" spans="1:8" ht="12">
      <c r="A109" s="120"/>
      <c r="B109" s="156" t="s">
        <v>666</v>
      </c>
      <c r="C109" s="156" t="s">
        <v>937</v>
      </c>
      <c r="D109" s="139"/>
      <c r="E109" s="113"/>
      <c r="F109" s="113"/>
      <c r="G109" s="113"/>
      <c r="H109" s="113"/>
    </row>
    <row r="110" spans="1:8" ht="12">
      <c r="A110" s="120"/>
      <c r="B110" s="156" t="s">
        <v>436</v>
      </c>
      <c r="C110" s="156" t="s">
        <v>945</v>
      </c>
      <c r="D110" s="139"/>
      <c r="E110" s="113"/>
      <c r="F110" s="113"/>
      <c r="G110" s="113"/>
      <c r="H110" s="113"/>
    </row>
    <row r="111" spans="1:8" ht="12">
      <c r="A111" s="120"/>
      <c r="B111" s="156" t="s">
        <v>466</v>
      </c>
      <c r="C111" s="156" t="s">
        <v>611</v>
      </c>
      <c r="D111" s="139"/>
      <c r="E111" s="113"/>
      <c r="F111" s="113"/>
      <c r="G111" s="113"/>
      <c r="H111" s="113"/>
    </row>
    <row r="112" spans="1:8" ht="12">
      <c r="A112" s="120"/>
      <c r="B112" s="156" t="s">
        <v>370</v>
      </c>
      <c r="C112" s="156" t="s">
        <v>613</v>
      </c>
      <c r="D112" s="139"/>
      <c r="E112" s="113"/>
      <c r="F112" s="113"/>
      <c r="G112" s="113"/>
      <c r="H112" s="113"/>
    </row>
    <row r="113" spans="1:8" ht="12">
      <c r="A113" s="120"/>
      <c r="B113" s="156" t="s">
        <v>623</v>
      </c>
      <c r="C113" s="156" t="s">
        <v>620</v>
      </c>
      <c r="D113" s="139"/>
      <c r="E113" s="113"/>
      <c r="F113" s="113"/>
      <c r="G113" s="113"/>
      <c r="H113" s="113"/>
    </row>
    <row r="114" spans="1:8" ht="12">
      <c r="A114" s="120"/>
      <c r="B114" s="156" t="s">
        <v>437</v>
      </c>
      <c r="C114" s="156" t="s">
        <v>609</v>
      </c>
      <c r="D114" s="139"/>
      <c r="E114" s="113"/>
      <c r="F114" s="113"/>
      <c r="G114" s="113"/>
      <c r="H114" s="113"/>
    </row>
    <row r="115" spans="1:8" ht="12">
      <c r="A115" s="120"/>
      <c r="B115" s="156" t="s">
        <v>664</v>
      </c>
      <c r="C115" s="156" t="s">
        <v>448</v>
      </c>
      <c r="D115" s="139"/>
      <c r="E115" s="113"/>
      <c r="F115" s="113"/>
      <c r="G115" s="113"/>
      <c r="H115" s="113"/>
    </row>
    <row r="116" spans="1:8" ht="12">
      <c r="A116" s="120"/>
      <c r="B116" s="156" t="s">
        <v>608</v>
      </c>
      <c r="C116" s="156" t="s">
        <v>610</v>
      </c>
      <c r="D116" s="139"/>
      <c r="E116" s="113"/>
      <c r="F116" s="113"/>
      <c r="G116" s="113"/>
      <c r="H116" s="113"/>
    </row>
    <row r="117" spans="1:8" ht="12">
      <c r="A117" s="120"/>
      <c r="B117" s="156" t="s">
        <v>601</v>
      </c>
      <c r="C117" s="156" t="s">
        <v>614</v>
      </c>
      <c r="D117" s="139"/>
      <c r="E117" s="113"/>
      <c r="F117" s="113"/>
      <c r="G117" s="113"/>
      <c r="H117" s="113"/>
    </row>
    <row r="118" spans="1:8" ht="12">
      <c r="A118" s="120"/>
      <c r="B118" s="156" t="s">
        <v>665</v>
      </c>
      <c r="C118" s="156" t="s">
        <v>615</v>
      </c>
      <c r="D118" s="139"/>
      <c r="E118" s="113"/>
      <c r="F118" s="113"/>
      <c r="G118" s="113"/>
      <c r="H118" s="113"/>
    </row>
    <row r="119" spans="1:8" ht="12">
      <c r="A119" s="120"/>
      <c r="B119" s="156" t="s">
        <v>503</v>
      </c>
      <c r="C119" s="156" t="s">
        <v>634</v>
      </c>
      <c r="D119" s="139"/>
      <c r="E119" s="113"/>
      <c r="F119" s="113"/>
      <c r="G119" s="113"/>
      <c r="H119" s="113"/>
    </row>
    <row r="120" spans="1:8" ht="12">
      <c r="A120" s="120"/>
      <c r="B120" s="156" t="s">
        <v>605</v>
      </c>
      <c r="C120" s="156" t="s">
        <v>635</v>
      </c>
      <c r="D120" s="139"/>
      <c r="E120" s="113"/>
      <c r="F120" s="113"/>
      <c r="G120" s="113"/>
      <c r="H120" s="113"/>
    </row>
    <row r="121" spans="1:8" ht="12">
      <c r="A121" s="120"/>
      <c r="B121" s="156" t="s">
        <v>663</v>
      </c>
      <c r="C121" s="156" t="s">
        <v>616</v>
      </c>
      <c r="D121" s="139"/>
      <c r="E121" s="113"/>
      <c r="F121" s="113"/>
      <c r="G121" s="113"/>
      <c r="H121" s="113"/>
    </row>
    <row r="122" spans="1:8" ht="12">
      <c r="A122" s="120"/>
      <c r="B122" s="156" t="s">
        <v>423</v>
      </c>
      <c r="C122" s="156" t="s">
        <v>943</v>
      </c>
      <c r="D122" s="139"/>
      <c r="E122" s="113"/>
      <c r="F122" s="113"/>
      <c r="G122" s="113"/>
      <c r="H122" s="113"/>
    </row>
    <row r="123" spans="1:8" ht="12">
      <c r="A123" s="120"/>
      <c r="B123" s="156" t="s">
        <v>441</v>
      </c>
      <c r="C123" s="156" t="s">
        <v>618</v>
      </c>
      <c r="D123" s="139"/>
      <c r="E123" s="113"/>
      <c r="F123" s="113"/>
      <c r="G123" s="113"/>
      <c r="H123" s="113"/>
    </row>
    <row r="124" spans="1:8" ht="12">
      <c r="A124" s="120"/>
      <c r="B124" s="156" t="s">
        <v>462</v>
      </c>
      <c r="C124" s="156" t="s">
        <v>619</v>
      </c>
      <c r="D124" s="139"/>
      <c r="E124" s="113"/>
      <c r="F124" s="113"/>
      <c r="G124" s="113"/>
      <c r="H124" s="113"/>
    </row>
    <row r="125" spans="1:8" ht="12">
      <c r="A125" s="120"/>
      <c r="B125" s="156" t="s">
        <v>658</v>
      </c>
      <c r="C125" s="156" t="s">
        <v>634</v>
      </c>
      <c r="D125" s="113"/>
      <c r="E125" s="113"/>
      <c r="F125" s="113"/>
      <c r="G125" s="113"/>
      <c r="H125" s="113"/>
    </row>
    <row r="126" spans="1:8" ht="12">
      <c r="A126" s="120"/>
      <c r="B126" s="156" t="s">
        <v>602</v>
      </c>
      <c r="C126" s="156" t="s">
        <v>943</v>
      </c>
      <c r="D126" s="113"/>
      <c r="E126" s="113"/>
      <c r="F126" s="113"/>
      <c r="G126" s="113"/>
      <c r="H126" s="113"/>
    </row>
    <row r="127" spans="1:8" ht="12">
      <c r="A127" s="120"/>
      <c r="B127" s="156" t="s">
        <v>470</v>
      </c>
      <c r="C127" s="156" t="s">
        <v>937</v>
      </c>
      <c r="D127" s="113"/>
      <c r="E127" s="113"/>
      <c r="F127" s="113"/>
      <c r="G127" s="113"/>
      <c r="H127" s="113"/>
    </row>
    <row r="128" spans="1:8" ht="12">
      <c r="A128" s="120"/>
      <c r="B128" s="156" t="s">
        <v>471</v>
      </c>
      <c r="C128" s="156" t="s">
        <v>610</v>
      </c>
      <c r="D128" s="113"/>
      <c r="E128" s="113"/>
      <c r="F128" s="113"/>
      <c r="G128" s="113"/>
      <c r="H128" s="113"/>
    </row>
    <row r="129" spans="1:8" ht="12">
      <c r="A129" s="120"/>
      <c r="B129" s="156" t="s">
        <v>626</v>
      </c>
      <c r="C129" s="156" t="s">
        <v>944</v>
      </c>
      <c r="D129" s="113"/>
      <c r="E129" s="113"/>
      <c r="F129" s="113"/>
      <c r="G129" s="113"/>
      <c r="H129" s="113"/>
    </row>
    <row r="130" spans="1:8" ht="12">
      <c r="A130" s="120"/>
      <c r="B130" s="156" t="s">
        <v>473</v>
      </c>
      <c r="C130" s="156" t="s">
        <v>477</v>
      </c>
      <c r="D130" s="113"/>
      <c r="E130" s="113"/>
      <c r="F130" s="113"/>
      <c r="G130" s="113"/>
      <c r="H130" s="113"/>
    </row>
    <row r="131" spans="1:8" ht="12">
      <c r="A131" s="120"/>
      <c r="B131" s="156" t="s">
        <v>465</v>
      </c>
      <c r="C131" s="156" t="s">
        <v>945</v>
      </c>
      <c r="D131" s="113"/>
      <c r="E131" s="113"/>
      <c r="F131" s="113"/>
      <c r="G131" s="113"/>
      <c r="H131" s="113"/>
    </row>
    <row r="132" spans="1:8" ht="12">
      <c r="A132" s="120"/>
      <c r="B132" s="156" t="s">
        <v>433</v>
      </c>
      <c r="C132" s="156" t="s">
        <v>611</v>
      </c>
      <c r="D132" s="113"/>
      <c r="E132" s="113"/>
      <c r="F132" s="113"/>
      <c r="G132" s="113"/>
      <c r="H132" s="113"/>
    </row>
    <row r="133" spans="1:8" ht="12">
      <c r="A133" s="120"/>
      <c r="B133" s="156" t="s">
        <v>432</v>
      </c>
      <c r="C133" s="156" t="s">
        <v>449</v>
      </c>
      <c r="D133" s="113"/>
      <c r="E133" s="113"/>
      <c r="F133" s="113"/>
      <c r="G133" s="113"/>
      <c r="H133" s="113"/>
    </row>
    <row r="134" spans="1:8" ht="12">
      <c r="A134" s="120"/>
      <c r="B134" s="156" t="s">
        <v>475</v>
      </c>
      <c r="C134" s="156" t="s">
        <v>615</v>
      </c>
      <c r="D134" s="113"/>
      <c r="E134" s="113"/>
      <c r="F134" s="113"/>
      <c r="G134" s="113"/>
      <c r="H134" s="113"/>
    </row>
    <row r="135" spans="1:8" ht="12">
      <c r="A135" s="120"/>
      <c r="B135" s="156" t="s">
        <v>431</v>
      </c>
      <c r="C135" s="156" t="s">
        <v>614</v>
      </c>
      <c r="D135" s="113"/>
      <c r="E135" s="113"/>
      <c r="F135" s="113"/>
      <c r="G135" s="113"/>
      <c r="H135" s="113"/>
    </row>
    <row r="136" spans="1:8" ht="12">
      <c r="A136" s="120"/>
      <c r="B136" s="156" t="s">
        <v>642</v>
      </c>
      <c r="C136" s="156" t="s">
        <v>617</v>
      </c>
      <c r="D136" s="113"/>
      <c r="E136" s="113"/>
      <c r="F136" s="113"/>
      <c r="G136" s="113"/>
      <c r="H136" s="113"/>
    </row>
    <row r="137" spans="1:8" ht="12">
      <c r="A137" s="120"/>
      <c r="B137" s="156" t="s">
        <v>463</v>
      </c>
      <c r="C137" s="156" t="s">
        <v>616</v>
      </c>
      <c r="D137" s="113"/>
      <c r="E137" s="113"/>
      <c r="F137" s="113"/>
      <c r="G137" s="113"/>
      <c r="H137" s="113"/>
    </row>
    <row r="138" spans="1:8" ht="12">
      <c r="A138" s="120"/>
      <c r="B138" s="156" t="s">
        <v>600</v>
      </c>
      <c r="C138" s="156" t="s">
        <v>618</v>
      </c>
      <c r="D138" s="113"/>
      <c r="E138" s="113"/>
      <c r="F138" s="113"/>
      <c r="G138" s="113"/>
      <c r="H138" s="113"/>
    </row>
    <row r="139" spans="1:8" ht="12">
      <c r="A139" s="120"/>
      <c r="B139" s="156" t="s">
        <v>440</v>
      </c>
      <c r="C139" s="156" t="s">
        <v>619</v>
      </c>
      <c r="D139" s="113"/>
      <c r="E139" s="113"/>
      <c r="F139" s="113"/>
      <c r="G139" s="113"/>
      <c r="H139" s="113"/>
    </row>
    <row r="140" spans="1:8" ht="12">
      <c r="A140" s="120"/>
      <c r="B140" s="156" t="s">
        <v>599</v>
      </c>
      <c r="C140" s="156" t="s">
        <v>620</v>
      </c>
      <c r="D140" s="113"/>
      <c r="E140" s="113"/>
      <c r="F140" s="113"/>
      <c r="G140" s="113"/>
      <c r="H140" s="113"/>
    </row>
    <row r="141" spans="1:8" ht="12">
      <c r="A141" s="120"/>
      <c r="B141" t="s">
        <v>517</v>
      </c>
      <c r="C141" t="s">
        <v>937</v>
      </c>
      <c r="D141" s="113"/>
      <c r="E141" s="113"/>
      <c r="F141" s="113"/>
      <c r="G141" s="113"/>
      <c r="H141" s="113"/>
    </row>
    <row r="142" spans="1:8" ht="12">
      <c r="A142" s="120"/>
      <c r="B142" t="s">
        <v>630</v>
      </c>
      <c r="C142" t="s">
        <v>448</v>
      </c>
      <c r="D142" s="113"/>
      <c r="E142" s="113"/>
      <c r="F142" s="113"/>
      <c r="G142" s="113"/>
      <c r="H142" s="113"/>
    </row>
    <row r="143" spans="1:8" ht="12">
      <c r="A143" s="120"/>
      <c r="B143" t="s">
        <v>464</v>
      </c>
      <c r="C143" t="s">
        <v>616</v>
      </c>
      <c r="D143" s="113"/>
      <c r="E143" s="113"/>
      <c r="F143" s="113"/>
      <c r="G143" s="113"/>
      <c r="H143" s="113"/>
    </row>
    <row r="144" spans="1:8" ht="12">
      <c r="A144" s="120"/>
      <c r="B144" t="s">
        <v>662</v>
      </c>
      <c r="C144" t="s">
        <v>944</v>
      </c>
      <c r="D144" s="113"/>
      <c r="E144" s="113"/>
      <c r="F144" s="113"/>
      <c r="G144" s="113"/>
      <c r="H144" s="113"/>
    </row>
    <row r="145" spans="1:8" ht="12">
      <c r="A145" s="120"/>
      <c r="B145" t="s">
        <v>422</v>
      </c>
      <c r="C145" t="s">
        <v>611</v>
      </c>
      <c r="D145" s="113"/>
      <c r="E145" s="113"/>
      <c r="F145" s="113"/>
      <c r="G145" s="113"/>
      <c r="H145" s="113"/>
    </row>
    <row r="146" spans="1:8" ht="12">
      <c r="A146" s="120"/>
      <c r="B146" t="s">
        <v>633</v>
      </c>
      <c r="C146" t="s">
        <v>609</v>
      </c>
      <c r="D146" s="113"/>
      <c r="E146" s="113"/>
      <c r="F146" s="113"/>
      <c r="G146" s="113"/>
      <c r="H146" s="113"/>
    </row>
    <row r="147" spans="1:8" ht="12">
      <c r="A147" s="120"/>
      <c r="B147" t="s">
        <v>660</v>
      </c>
      <c r="C147" t="s">
        <v>613</v>
      </c>
      <c r="D147" s="113"/>
      <c r="E147" s="113"/>
      <c r="F147" s="113"/>
      <c r="G147" s="113"/>
      <c r="H147" s="113"/>
    </row>
    <row r="148" spans="1:8" ht="12">
      <c r="A148" s="120"/>
      <c r="B148" t="s">
        <v>640</v>
      </c>
      <c r="C148" t="s">
        <v>945</v>
      </c>
      <c r="D148" s="113"/>
      <c r="E148" s="113"/>
      <c r="F148" s="113"/>
      <c r="G148" s="113"/>
      <c r="H148" s="113"/>
    </row>
    <row r="149" spans="1:8" ht="12">
      <c r="A149" s="120"/>
      <c r="B149" t="s">
        <v>421</v>
      </c>
      <c r="C149" t="s">
        <v>610</v>
      </c>
      <c r="D149" s="113"/>
      <c r="E149" s="113"/>
      <c r="F149" s="113"/>
      <c r="G149" s="113"/>
      <c r="H149" s="113"/>
    </row>
    <row r="150" spans="1:8" ht="12">
      <c r="A150" s="120"/>
      <c r="B150" t="s">
        <v>467</v>
      </c>
      <c r="C150" t="s">
        <v>634</v>
      </c>
      <c r="D150" s="113"/>
      <c r="E150" s="113"/>
      <c r="F150" s="113"/>
      <c r="G150" s="113"/>
      <c r="H150" s="113"/>
    </row>
    <row r="151" spans="1:8" ht="12">
      <c r="A151" s="120"/>
      <c r="B151" t="s">
        <v>628</v>
      </c>
      <c r="C151" t="s">
        <v>617</v>
      </c>
      <c r="D151" s="113"/>
      <c r="E151" s="113"/>
      <c r="F151" s="113"/>
      <c r="G151" s="113"/>
      <c r="H151" s="113"/>
    </row>
    <row r="152" spans="1:8" ht="12">
      <c r="A152" s="120"/>
      <c r="B152" t="s">
        <v>518</v>
      </c>
      <c r="C152" t="s">
        <v>618</v>
      </c>
      <c r="D152" s="113"/>
      <c r="E152" s="113"/>
      <c r="F152" s="113"/>
      <c r="G152" s="113"/>
      <c r="H152" s="113"/>
    </row>
    <row r="153" spans="1:8" ht="12">
      <c r="A153" s="120"/>
      <c r="B153" t="s">
        <v>629</v>
      </c>
      <c r="C153" t="s">
        <v>636</v>
      </c>
      <c r="D153" s="113"/>
      <c r="E153" s="113"/>
      <c r="F153" s="113"/>
      <c r="G153" s="113"/>
      <c r="H153" s="113"/>
    </row>
    <row r="154" spans="1:8" ht="12">
      <c r="A154" s="120"/>
      <c r="B154" t="s">
        <v>468</v>
      </c>
      <c r="C154" t="s">
        <v>943</v>
      </c>
      <c r="D154" s="113"/>
      <c r="E154" s="113"/>
      <c r="F154" s="113"/>
      <c r="G154" s="113"/>
      <c r="H154" s="113"/>
    </row>
    <row r="155" spans="1:8" ht="12">
      <c r="A155" s="120"/>
      <c r="B155" t="s">
        <v>516</v>
      </c>
      <c r="C155" t="s">
        <v>615</v>
      </c>
      <c r="D155" s="113"/>
      <c r="E155" s="113"/>
      <c r="F155" s="113"/>
      <c r="G155" s="113"/>
      <c r="H155" s="113"/>
    </row>
    <row r="156" spans="1:8" ht="12">
      <c r="A156" s="120"/>
      <c r="B156" t="s">
        <v>519</v>
      </c>
      <c r="C156" t="s">
        <v>450</v>
      </c>
      <c r="D156" s="113"/>
      <c r="E156" s="113"/>
      <c r="F156" s="113"/>
      <c r="G156" s="113"/>
      <c r="H156" s="113"/>
    </row>
    <row r="157" spans="1:8" ht="12">
      <c r="A157" s="120"/>
      <c r="B157" t="s">
        <v>469</v>
      </c>
      <c r="C157" t="s">
        <v>619</v>
      </c>
      <c r="D157" s="113"/>
      <c r="E157" s="113"/>
      <c r="F157" s="113"/>
      <c r="G157" s="113"/>
      <c r="H157" s="113"/>
    </row>
    <row r="158" spans="1:8" ht="12">
      <c r="A158" s="120"/>
      <c r="B158" t="s">
        <v>351</v>
      </c>
      <c r="C158" t="s">
        <v>943</v>
      </c>
      <c r="D158" s="113"/>
      <c r="E158" s="113"/>
      <c r="F158" s="113"/>
      <c r="G158" s="113"/>
      <c r="H158" s="113"/>
    </row>
    <row r="159" spans="1:8" ht="12">
      <c r="A159" s="120"/>
      <c r="B159" t="s">
        <v>349</v>
      </c>
      <c r="C159" t="s">
        <v>614</v>
      </c>
      <c r="D159" s="113"/>
      <c r="E159" s="113"/>
      <c r="F159" s="113"/>
      <c r="G159" s="113"/>
      <c r="H159" s="113"/>
    </row>
    <row r="160" spans="1:8" ht="12">
      <c r="A160" s="120"/>
      <c r="B160" t="s">
        <v>472</v>
      </c>
      <c r="C160" t="s">
        <v>937</v>
      </c>
      <c r="D160" s="113"/>
      <c r="E160" s="113"/>
      <c r="F160" s="113"/>
      <c r="G160" s="113"/>
      <c r="H160" s="113"/>
    </row>
    <row r="161" spans="1:8" ht="12">
      <c r="A161" s="120"/>
      <c r="B161" t="s">
        <v>631</v>
      </c>
      <c r="C161" t="s">
        <v>944</v>
      </c>
      <c r="D161" s="113"/>
      <c r="E161" s="113"/>
      <c r="F161" s="113"/>
      <c r="G161" s="113"/>
      <c r="H161" s="113"/>
    </row>
    <row r="162" spans="1:8" ht="12">
      <c r="A162" s="120"/>
      <c r="B162" t="s">
        <v>427</v>
      </c>
      <c r="C162" t="s">
        <v>609</v>
      </c>
      <c r="D162" s="113"/>
      <c r="E162" s="113"/>
      <c r="F162" s="113"/>
      <c r="G162" s="113"/>
      <c r="H162" s="113"/>
    </row>
    <row r="163" spans="1:8" ht="12">
      <c r="A163" s="120"/>
      <c r="B163" t="s">
        <v>632</v>
      </c>
      <c r="C163" t="s">
        <v>611</v>
      </c>
      <c r="D163" s="113"/>
      <c r="E163" s="113"/>
      <c r="F163" s="113"/>
      <c r="G163" s="113"/>
      <c r="H163" s="113"/>
    </row>
    <row r="164" spans="1:8" ht="12">
      <c r="A164" s="120"/>
      <c r="B164" t="s">
        <v>428</v>
      </c>
      <c r="C164" t="s">
        <v>613</v>
      </c>
      <c r="D164" s="113"/>
      <c r="E164" s="113"/>
      <c r="F164" s="113"/>
      <c r="G164" s="113"/>
      <c r="H164" s="113"/>
    </row>
    <row r="165" spans="1:8" ht="12">
      <c r="A165" s="120"/>
      <c r="B165" t="s">
        <v>443</v>
      </c>
      <c r="C165" t="s">
        <v>636</v>
      </c>
      <c r="D165" s="113"/>
      <c r="E165" s="113"/>
      <c r="F165" s="113"/>
      <c r="G165" s="113"/>
      <c r="H165" s="113"/>
    </row>
    <row r="166" spans="1:8" ht="12">
      <c r="A166" s="120"/>
      <c r="B166" t="s">
        <v>426</v>
      </c>
      <c r="C166" t="s">
        <v>635</v>
      </c>
      <c r="D166" s="113"/>
      <c r="E166" s="113"/>
      <c r="F166" s="113"/>
      <c r="G166" s="113"/>
      <c r="H166" s="113"/>
    </row>
    <row r="167" spans="1:8" ht="12">
      <c r="A167" s="120"/>
      <c r="B167" t="s">
        <v>353</v>
      </c>
      <c r="C167" t="s">
        <v>634</v>
      </c>
      <c r="D167" s="113"/>
      <c r="E167" s="113"/>
      <c r="F167" s="113"/>
      <c r="G167" s="113"/>
      <c r="H167" s="113"/>
    </row>
    <row r="168" spans="1:8" ht="12">
      <c r="A168" s="120"/>
      <c r="B168" t="s">
        <v>429</v>
      </c>
      <c r="C168" t="s">
        <v>448</v>
      </c>
      <c r="D168" s="113"/>
      <c r="E168" s="113"/>
      <c r="F168" s="113"/>
      <c r="G168" s="113"/>
      <c r="H168" s="113"/>
    </row>
    <row r="169" spans="1:8" ht="12">
      <c r="A169" s="120"/>
      <c r="B169" t="s">
        <v>474</v>
      </c>
      <c r="C169" t="s">
        <v>610</v>
      </c>
      <c r="D169" s="113"/>
      <c r="E169" s="113"/>
      <c r="F169" s="113"/>
      <c r="G169" s="113"/>
      <c r="H169" s="113"/>
    </row>
    <row r="170" spans="1:8" ht="12">
      <c r="A170" s="120"/>
      <c r="B170" t="s">
        <v>354</v>
      </c>
      <c r="C170" t="s">
        <v>620</v>
      </c>
      <c r="D170" s="113"/>
      <c r="E170" s="113"/>
      <c r="F170" s="113"/>
      <c r="G170" s="113"/>
      <c r="H170" s="113"/>
    </row>
    <row r="171" spans="1:8" ht="12">
      <c r="A171" s="120"/>
      <c r="B171" t="s">
        <v>445</v>
      </c>
      <c r="C171" t="s">
        <v>615</v>
      </c>
      <c r="D171" s="113"/>
      <c r="E171" s="113"/>
      <c r="F171" s="113"/>
      <c r="G171" s="113"/>
      <c r="H171" s="113"/>
    </row>
    <row r="172" spans="1:8" ht="12">
      <c r="A172" s="120"/>
      <c r="B172" t="s">
        <v>524</v>
      </c>
      <c r="C172" t="s">
        <v>618</v>
      </c>
      <c r="D172" s="113"/>
      <c r="E172" s="113"/>
      <c r="F172" s="113"/>
      <c r="G172" s="113"/>
      <c r="H172" s="113"/>
    </row>
    <row r="173" spans="1:8" ht="12">
      <c r="A173" s="120"/>
      <c r="B173" t="s">
        <v>476</v>
      </c>
      <c r="C173" t="s">
        <v>616</v>
      </c>
      <c r="D173" s="113"/>
      <c r="E173" s="113"/>
      <c r="F173" s="113"/>
      <c r="G173" s="113"/>
      <c r="H173" s="113"/>
    </row>
    <row r="174" spans="1:8" ht="12">
      <c r="A174" s="120"/>
      <c r="B174" t="s">
        <v>644</v>
      </c>
      <c r="C174" t="s">
        <v>617</v>
      </c>
      <c r="D174" s="113"/>
      <c r="E174" s="113"/>
      <c r="F174" s="113"/>
      <c r="G174" s="113"/>
      <c r="H174" s="113"/>
    </row>
    <row r="175" spans="1:8" ht="12">
      <c r="A175" s="120"/>
      <c r="B175" t="s">
        <v>439</v>
      </c>
      <c r="C175" t="s">
        <v>450</v>
      </c>
      <c r="D175" s="113"/>
      <c r="E175" s="113"/>
      <c r="F175" s="113"/>
      <c r="G175" s="113"/>
      <c r="H175" s="113"/>
    </row>
    <row r="176" spans="1:8" ht="12">
      <c r="A176" s="120"/>
      <c r="B176" t="s">
        <v>444</v>
      </c>
      <c r="C176" t="s">
        <v>449</v>
      </c>
      <c r="D176" s="113"/>
      <c r="E176" s="113"/>
      <c r="F176" s="113"/>
      <c r="G176" s="113"/>
      <c r="H176" s="113"/>
    </row>
    <row r="177" spans="1:8" ht="12">
      <c r="A177" s="120"/>
      <c r="B177" t="s">
        <v>641</v>
      </c>
      <c r="C177" t="s">
        <v>619</v>
      </c>
      <c r="D177" s="113"/>
      <c r="E177" s="113"/>
      <c r="F177" s="113"/>
      <c r="G177" s="113"/>
      <c r="H177" s="113"/>
    </row>
    <row r="178" spans="1:8" ht="12">
      <c r="A178" s="120"/>
      <c r="B178" t="s">
        <v>348</v>
      </c>
      <c r="C178" t="s">
        <v>477</v>
      </c>
      <c r="D178" s="113"/>
      <c r="E178" s="113"/>
      <c r="F178" s="113"/>
      <c r="G178" s="113"/>
      <c r="H178" s="113"/>
    </row>
    <row r="179" spans="1:8" ht="12">
      <c r="A179" s="117" t="s">
        <v>478</v>
      </c>
      <c r="B179" s="142"/>
      <c r="C179" s="116"/>
      <c r="D179" s="116"/>
      <c r="E179" s="116"/>
      <c r="F179" s="113"/>
      <c r="G179" s="113"/>
      <c r="H179" s="113"/>
    </row>
    <row r="180" spans="1:8" ht="12">
      <c r="A180" s="140">
        <v>2</v>
      </c>
      <c r="B180" s="142" t="s">
        <v>479</v>
      </c>
      <c r="C180" s="116"/>
      <c r="D180" s="116"/>
      <c r="E180" s="116"/>
      <c r="F180" s="113"/>
      <c r="G180" s="113"/>
      <c r="H180" s="113"/>
    </row>
    <row r="181" spans="1:8" ht="12">
      <c r="A181" s="140">
        <v>3</v>
      </c>
      <c r="B181" s="142" t="s">
        <v>480</v>
      </c>
      <c r="C181" s="116"/>
      <c r="D181" s="116"/>
      <c r="E181" s="116"/>
      <c r="F181" s="113"/>
      <c r="G181" s="113"/>
      <c r="H181" s="113"/>
    </row>
    <row r="182" spans="1:8" ht="12">
      <c r="A182" s="140">
        <v>4</v>
      </c>
      <c r="B182" s="142" t="s">
        <v>481</v>
      </c>
      <c r="C182" s="116"/>
      <c r="D182" s="116"/>
      <c r="E182" s="116"/>
      <c r="F182" s="113"/>
      <c r="G182" s="113"/>
      <c r="H182" s="113"/>
    </row>
    <row r="183" spans="1:8" ht="12">
      <c r="A183" s="140">
        <v>5</v>
      </c>
      <c r="B183" s="142" t="s">
        <v>482</v>
      </c>
      <c r="C183" s="116"/>
      <c r="D183" s="116"/>
      <c r="E183" s="116"/>
      <c r="F183" s="113"/>
      <c r="G183" s="113"/>
      <c r="H183" s="113"/>
    </row>
    <row r="184" spans="1:8" ht="12">
      <c r="A184" s="120"/>
      <c r="B184" s="147" t="s">
        <v>591</v>
      </c>
      <c r="C184" s="113"/>
      <c r="D184" s="113"/>
      <c r="E184" s="113"/>
      <c r="F184" s="113"/>
      <c r="G184" s="113"/>
      <c r="H184" s="113"/>
    </row>
    <row r="185" spans="1:10" ht="12">
      <c r="A185" s="120"/>
      <c r="B185" s="147" t="s">
        <v>592</v>
      </c>
      <c r="C185" s="147"/>
      <c r="D185" s="147"/>
      <c r="E185" s="147"/>
      <c r="F185" s="147"/>
      <c r="G185" s="147"/>
      <c r="H185" s="147"/>
      <c r="I185" s="148"/>
      <c r="J185" s="148"/>
    </row>
    <row r="186" spans="1:11" ht="12">
      <c r="A186" s="120"/>
      <c r="B186" s="147" t="s">
        <v>964</v>
      </c>
      <c r="C186" s="147" t="s">
        <v>965</v>
      </c>
      <c r="D186" s="147" t="s">
        <v>593</v>
      </c>
      <c r="E186" s="147"/>
      <c r="F186" s="147" t="s">
        <v>938</v>
      </c>
      <c r="G186" s="147"/>
      <c r="H186" s="147" t="s">
        <v>939</v>
      </c>
      <c r="I186" s="147"/>
      <c r="J186" s="147" t="s">
        <v>940</v>
      </c>
      <c r="K186" s="113"/>
    </row>
    <row r="187" spans="1:11" ht="12">
      <c r="A187" s="120">
        <v>111</v>
      </c>
      <c r="B187" t="s">
        <v>605</v>
      </c>
      <c r="C187" s="152" t="s">
        <v>496</v>
      </c>
      <c r="D187" t="s">
        <v>606</v>
      </c>
      <c r="F187" t="s">
        <v>607</v>
      </c>
      <c r="H187" t="s">
        <v>659</v>
      </c>
      <c r="I187" s="113"/>
      <c r="J187" t="s">
        <v>438</v>
      </c>
      <c r="K187" s="113"/>
    </row>
    <row r="188" spans="1:11" ht="12">
      <c r="A188" s="120">
        <v>112</v>
      </c>
      <c r="B188" t="s">
        <v>622</v>
      </c>
      <c r="C188" s="152" t="s">
        <v>496</v>
      </c>
      <c r="D188" t="s">
        <v>604</v>
      </c>
      <c r="F188" t="s">
        <v>627</v>
      </c>
      <c r="H188" t="s">
        <v>594</v>
      </c>
      <c r="I188" s="113"/>
      <c r="J188" t="s">
        <v>595</v>
      </c>
      <c r="K188" s="113"/>
    </row>
    <row r="189" spans="1:11" ht="12">
      <c r="A189" s="120">
        <v>113</v>
      </c>
      <c r="B189" t="s">
        <v>603</v>
      </c>
      <c r="C189" s="152" t="s">
        <v>496</v>
      </c>
      <c r="D189" t="s">
        <v>621</v>
      </c>
      <c r="F189" t="s">
        <v>596</v>
      </c>
      <c r="H189" t="s">
        <v>371</v>
      </c>
      <c r="I189" s="113"/>
      <c r="J189" t="s">
        <v>419</v>
      </c>
      <c r="K189" s="113"/>
    </row>
    <row r="190" spans="1:11" ht="12">
      <c r="A190" s="120">
        <v>114</v>
      </c>
      <c r="B190" t="s">
        <v>597</v>
      </c>
      <c r="C190" s="152" t="s">
        <v>496</v>
      </c>
      <c r="D190" t="s">
        <v>598</v>
      </c>
      <c r="F190" t="s">
        <v>442</v>
      </c>
      <c r="H190" t="s">
        <v>430</v>
      </c>
      <c r="I190" s="113"/>
      <c r="J190" s="151" t="s">
        <v>461</v>
      </c>
      <c r="K190" s="113"/>
    </row>
    <row r="191" spans="1:10" ht="12">
      <c r="A191" s="120">
        <v>121</v>
      </c>
      <c r="B191" t="s">
        <v>595</v>
      </c>
      <c r="C191" s="152" t="s">
        <v>497</v>
      </c>
      <c r="D191" t="s">
        <v>595</v>
      </c>
      <c r="F191" t="s">
        <v>606</v>
      </c>
      <c r="H191" s="151" t="s">
        <v>596</v>
      </c>
      <c r="I191" s="113"/>
      <c r="J191" s="151" t="s">
        <v>430</v>
      </c>
    </row>
    <row r="192" spans="1:10" ht="12">
      <c r="A192" s="120">
        <v>122</v>
      </c>
      <c r="B192" t="s">
        <v>460</v>
      </c>
      <c r="C192" s="152" t="s">
        <v>497</v>
      </c>
      <c r="D192" t="s">
        <v>438</v>
      </c>
      <c r="F192" s="151" t="s">
        <v>594</v>
      </c>
      <c r="H192" s="151" t="s">
        <v>461</v>
      </c>
      <c r="J192" s="151" t="s">
        <v>621</v>
      </c>
    </row>
    <row r="193" spans="1:10" ht="12">
      <c r="A193" s="120">
        <v>123</v>
      </c>
      <c r="B193" t="s">
        <v>624</v>
      </c>
      <c r="C193" s="152" t="s">
        <v>497</v>
      </c>
      <c r="D193" s="151" t="s">
        <v>607</v>
      </c>
      <c r="F193" s="151" t="s">
        <v>604</v>
      </c>
      <c r="H193" s="151" t="s">
        <v>419</v>
      </c>
      <c r="J193" s="151" t="s">
        <v>442</v>
      </c>
    </row>
    <row r="194" spans="1:10" ht="12">
      <c r="A194" s="120">
        <v>124</v>
      </c>
      <c r="B194" s="151" t="s">
        <v>643</v>
      </c>
      <c r="C194" s="152" t="s">
        <v>497</v>
      </c>
      <c r="D194" s="151" t="s">
        <v>627</v>
      </c>
      <c r="F194" t="s">
        <v>659</v>
      </c>
      <c r="H194" s="151" t="s">
        <v>598</v>
      </c>
      <c r="J194" s="151" t="s">
        <v>371</v>
      </c>
    </row>
    <row r="195" spans="1:10" ht="12">
      <c r="A195" s="120">
        <v>131</v>
      </c>
      <c r="B195" s="151" t="s">
        <v>424</v>
      </c>
      <c r="C195" s="152" t="s">
        <v>498</v>
      </c>
      <c r="D195" s="151" t="s">
        <v>419</v>
      </c>
      <c r="F195" s="151" t="s">
        <v>461</v>
      </c>
      <c r="H195" s="151" t="s">
        <v>627</v>
      </c>
      <c r="J195" s="151" t="s">
        <v>606</v>
      </c>
    </row>
    <row r="196" spans="1:10" ht="12">
      <c r="A196" s="120">
        <v>132</v>
      </c>
      <c r="B196" s="151" t="s">
        <v>595</v>
      </c>
      <c r="C196" s="152" t="s">
        <v>499</v>
      </c>
      <c r="D196" s="151" t="s">
        <v>595</v>
      </c>
      <c r="F196" s="151" t="s">
        <v>621</v>
      </c>
      <c r="H196" t="s">
        <v>442</v>
      </c>
      <c r="J196" s="151" t="s">
        <v>659</v>
      </c>
    </row>
    <row r="197" spans="1:10" ht="12">
      <c r="A197" s="120">
        <v>133</v>
      </c>
      <c r="B197" s="151" t="s">
        <v>594</v>
      </c>
      <c r="C197" s="152" t="s">
        <v>499</v>
      </c>
      <c r="D197" s="151" t="s">
        <v>594</v>
      </c>
      <c r="F197" s="151" t="s">
        <v>598</v>
      </c>
      <c r="H197" s="151" t="s">
        <v>607</v>
      </c>
      <c r="J197" s="151" t="s">
        <v>596</v>
      </c>
    </row>
    <row r="198" spans="1:10" ht="12">
      <c r="A198" s="120">
        <v>134</v>
      </c>
      <c r="B198" s="151" t="s">
        <v>483</v>
      </c>
      <c r="C198" s="152" t="s">
        <v>499</v>
      </c>
      <c r="D198" s="151" t="s">
        <v>371</v>
      </c>
      <c r="F198" s="151" t="s">
        <v>430</v>
      </c>
      <c r="H198" t="s">
        <v>438</v>
      </c>
      <c r="J198" s="151" t="s">
        <v>604</v>
      </c>
    </row>
    <row r="199" spans="1:10" ht="12">
      <c r="A199" s="120">
        <v>141</v>
      </c>
      <c r="B199" s="151" t="s">
        <v>603</v>
      </c>
      <c r="C199" s="152" t="s">
        <v>500</v>
      </c>
      <c r="D199" s="151" t="s">
        <v>621</v>
      </c>
      <c r="F199" s="151" t="s">
        <v>606</v>
      </c>
      <c r="H199" s="151" t="s">
        <v>604</v>
      </c>
      <c r="I199" s="113"/>
      <c r="J199" s="151" t="s">
        <v>598</v>
      </c>
    </row>
    <row r="200" spans="1:10" ht="12">
      <c r="A200" s="120">
        <v>142</v>
      </c>
      <c r="B200" s="151" t="s">
        <v>643</v>
      </c>
      <c r="C200" s="152" t="s">
        <v>500</v>
      </c>
      <c r="D200" s="151" t="s">
        <v>627</v>
      </c>
      <c r="F200" s="151" t="s">
        <v>438</v>
      </c>
      <c r="H200" s="151" t="s">
        <v>596</v>
      </c>
      <c r="J200" s="151" t="s">
        <v>442</v>
      </c>
    </row>
    <row r="201" spans="1:10" ht="12">
      <c r="A201" s="120">
        <v>143</v>
      </c>
      <c r="B201" s="151" t="s">
        <v>447</v>
      </c>
      <c r="C201" s="152" t="s">
        <v>500</v>
      </c>
      <c r="D201" s="151" t="s">
        <v>461</v>
      </c>
      <c r="F201" t="s">
        <v>371</v>
      </c>
      <c r="H201" t="s">
        <v>595</v>
      </c>
      <c r="J201" s="151" t="s">
        <v>607</v>
      </c>
    </row>
    <row r="202" spans="1:10" ht="12">
      <c r="A202" s="120">
        <v>144</v>
      </c>
      <c r="B202" s="151" t="s">
        <v>434</v>
      </c>
      <c r="C202" s="152" t="s">
        <v>500</v>
      </c>
      <c r="D202" s="151" t="s">
        <v>430</v>
      </c>
      <c r="F202" s="151" t="s">
        <v>419</v>
      </c>
      <c r="H202" s="151" t="s">
        <v>659</v>
      </c>
      <c r="J202" s="151" t="s">
        <v>594</v>
      </c>
    </row>
    <row r="203" spans="1:10" ht="12">
      <c r="A203" s="120">
        <v>151</v>
      </c>
      <c r="B203" s="151" t="s">
        <v>648</v>
      </c>
      <c r="C203" s="152" t="s">
        <v>501</v>
      </c>
      <c r="D203" s="151" t="s">
        <v>442</v>
      </c>
      <c r="F203" s="151" t="s">
        <v>606</v>
      </c>
      <c r="H203" s="151" t="s">
        <v>594</v>
      </c>
      <c r="J203" t="s">
        <v>371</v>
      </c>
    </row>
    <row r="204" spans="1:10" ht="12">
      <c r="A204" s="120">
        <v>152</v>
      </c>
      <c r="B204" s="151" t="s">
        <v>624</v>
      </c>
      <c r="C204" s="152" t="s">
        <v>501</v>
      </c>
      <c r="D204" s="151" t="s">
        <v>607</v>
      </c>
      <c r="F204" s="151" t="s">
        <v>430</v>
      </c>
      <c r="H204" s="151" t="s">
        <v>621</v>
      </c>
      <c r="J204" s="151" t="s">
        <v>627</v>
      </c>
    </row>
    <row r="205" spans="1:10" ht="12">
      <c r="A205" s="120">
        <v>153</v>
      </c>
      <c r="B205" s="151" t="s">
        <v>596</v>
      </c>
      <c r="C205" s="152" t="s">
        <v>501</v>
      </c>
      <c r="D205" s="151" t="s">
        <v>596</v>
      </c>
      <c r="F205" s="151" t="s">
        <v>659</v>
      </c>
      <c r="H205" s="151" t="s">
        <v>461</v>
      </c>
      <c r="J205" t="s">
        <v>604</v>
      </c>
    </row>
    <row r="206" spans="1:10" ht="12">
      <c r="A206" s="120">
        <v>154</v>
      </c>
      <c r="B206" s="151" t="s">
        <v>597</v>
      </c>
      <c r="C206" s="152" t="s">
        <v>501</v>
      </c>
      <c r="D206" s="151" t="s">
        <v>598</v>
      </c>
      <c r="F206" s="151" t="s">
        <v>595</v>
      </c>
      <c r="H206" s="151" t="s">
        <v>438</v>
      </c>
      <c r="J206" s="151" t="s">
        <v>419</v>
      </c>
    </row>
    <row r="207" spans="1:22" s="149" customFormat="1" ht="12">
      <c r="A207" s="117" t="s">
        <v>625</v>
      </c>
      <c r="B207" s="147" t="s">
        <v>484</v>
      </c>
      <c r="C207" s="147" t="s">
        <v>965</v>
      </c>
      <c r="D207" s="147" t="s">
        <v>593</v>
      </c>
      <c r="E207" s="147"/>
      <c r="F207" s="147" t="s">
        <v>938</v>
      </c>
      <c r="G207" s="147"/>
      <c r="H207" s="147" t="s">
        <v>939</v>
      </c>
      <c r="I207" s="147"/>
      <c r="J207" s="147" t="s">
        <v>940</v>
      </c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</row>
    <row r="208" spans="1:10" ht="12">
      <c r="A208" s="140">
        <v>211</v>
      </c>
      <c r="B208" s="154" t="s">
        <v>502</v>
      </c>
      <c r="C208" s="152" t="s">
        <v>496</v>
      </c>
      <c r="D208" s="153" t="s">
        <v>503</v>
      </c>
      <c r="E208" s="138"/>
      <c r="F208" t="s">
        <v>370</v>
      </c>
      <c r="G208" s="138"/>
      <c r="H208" t="s">
        <v>441</v>
      </c>
      <c r="I208" s="138"/>
      <c r="J208" s="153" t="s">
        <v>462</v>
      </c>
    </row>
    <row r="209" spans="1:10" ht="12">
      <c r="A209" s="140">
        <v>212</v>
      </c>
      <c r="B209" s="154" t="s">
        <v>504</v>
      </c>
      <c r="C209" s="152" t="s">
        <v>496</v>
      </c>
      <c r="D209" t="s">
        <v>601</v>
      </c>
      <c r="E209" s="138"/>
      <c r="F209" t="s">
        <v>436</v>
      </c>
      <c r="G209" s="138"/>
      <c r="H209" t="s">
        <v>608</v>
      </c>
      <c r="I209" s="138"/>
      <c r="J209" s="153" t="s">
        <v>605</v>
      </c>
    </row>
    <row r="210" spans="1:10" ht="12">
      <c r="A210" s="140">
        <v>213</v>
      </c>
      <c r="B210" s="154" t="s">
        <v>505</v>
      </c>
      <c r="C210" s="152" t="s">
        <v>496</v>
      </c>
      <c r="D210" t="s">
        <v>466</v>
      </c>
      <c r="E210" s="138"/>
      <c r="F210" t="s">
        <v>423</v>
      </c>
      <c r="G210" s="138"/>
      <c r="H210" t="s">
        <v>623</v>
      </c>
      <c r="I210" s="138"/>
      <c r="J210" t="s">
        <v>437</v>
      </c>
    </row>
    <row r="211" spans="1:10" ht="12">
      <c r="A211" s="120">
        <v>214</v>
      </c>
      <c r="B211" s="154" t="s">
        <v>506</v>
      </c>
      <c r="C211" s="152" t="s">
        <v>496</v>
      </c>
      <c r="D211" s="153" t="s">
        <v>664</v>
      </c>
      <c r="E211" s="138"/>
      <c r="F211" s="153" t="s">
        <v>665</v>
      </c>
      <c r="G211" s="138"/>
      <c r="H211" t="s">
        <v>666</v>
      </c>
      <c r="I211" s="138"/>
      <c r="J211" t="s">
        <v>663</v>
      </c>
    </row>
    <row r="212" spans="1:10" ht="12">
      <c r="A212" s="120">
        <v>221</v>
      </c>
      <c r="B212" s="154" t="s">
        <v>504</v>
      </c>
      <c r="C212" s="152" t="s">
        <v>497</v>
      </c>
      <c r="D212" s="153" t="s">
        <v>601</v>
      </c>
      <c r="E212" s="138"/>
      <c r="F212" s="153" t="s">
        <v>663</v>
      </c>
      <c r="G212" s="138"/>
      <c r="H212" t="s">
        <v>423</v>
      </c>
      <c r="I212" s="138"/>
      <c r="J212" t="s">
        <v>503</v>
      </c>
    </row>
    <row r="213" spans="1:10" ht="12">
      <c r="A213" s="120">
        <v>222</v>
      </c>
      <c r="B213" s="154" t="s">
        <v>507</v>
      </c>
      <c r="C213" s="152" t="s">
        <v>497</v>
      </c>
      <c r="D213" t="s">
        <v>436</v>
      </c>
      <c r="E213" s="138"/>
      <c r="F213" t="s">
        <v>462</v>
      </c>
      <c r="G213" s="138"/>
      <c r="H213" t="s">
        <v>437</v>
      </c>
      <c r="I213" s="138"/>
      <c r="J213" t="s">
        <v>666</v>
      </c>
    </row>
    <row r="214" spans="1:10" ht="12">
      <c r="A214" s="120">
        <v>223</v>
      </c>
      <c r="B214" s="154" t="s">
        <v>508</v>
      </c>
      <c r="C214" s="152" t="s">
        <v>497</v>
      </c>
      <c r="D214" s="153" t="s">
        <v>370</v>
      </c>
      <c r="E214" s="138"/>
      <c r="F214" s="153" t="s">
        <v>466</v>
      </c>
      <c r="G214" s="138"/>
      <c r="H214" s="153" t="s">
        <v>605</v>
      </c>
      <c r="I214" s="138"/>
      <c r="J214" t="s">
        <v>664</v>
      </c>
    </row>
    <row r="215" spans="1:10" ht="12">
      <c r="A215" s="120">
        <v>224</v>
      </c>
      <c r="B215" s="154" t="s">
        <v>509</v>
      </c>
      <c r="C215" s="152" t="s">
        <v>497</v>
      </c>
      <c r="D215" t="s">
        <v>623</v>
      </c>
      <c r="E215" s="138"/>
      <c r="F215" t="s">
        <v>608</v>
      </c>
      <c r="G215" s="138"/>
      <c r="H215" t="s">
        <v>441</v>
      </c>
      <c r="I215" s="138"/>
      <c r="J215" t="s">
        <v>665</v>
      </c>
    </row>
    <row r="216" spans="1:10" ht="12">
      <c r="A216" s="120">
        <v>231</v>
      </c>
      <c r="B216" s="154" t="s">
        <v>510</v>
      </c>
      <c r="C216" s="152" t="s">
        <v>499</v>
      </c>
      <c r="D216" s="153" t="s">
        <v>437</v>
      </c>
      <c r="E216" s="138"/>
      <c r="F216" t="s">
        <v>503</v>
      </c>
      <c r="G216" s="138"/>
      <c r="H216" s="153" t="s">
        <v>665</v>
      </c>
      <c r="I216" s="138"/>
      <c r="J216" t="s">
        <v>605</v>
      </c>
    </row>
    <row r="217" spans="1:10" ht="12">
      <c r="A217" s="120">
        <v>232</v>
      </c>
      <c r="B217" s="154" t="s">
        <v>511</v>
      </c>
      <c r="C217" s="152" t="s">
        <v>499</v>
      </c>
      <c r="D217" t="s">
        <v>423</v>
      </c>
      <c r="E217" s="138"/>
      <c r="F217" s="153" t="s">
        <v>462</v>
      </c>
      <c r="G217" s="138"/>
      <c r="H217" t="s">
        <v>664</v>
      </c>
      <c r="I217" s="138"/>
      <c r="J217" t="s">
        <v>608</v>
      </c>
    </row>
    <row r="218" spans="1:10" ht="12">
      <c r="A218" s="120">
        <v>233</v>
      </c>
      <c r="B218" s="154" t="s">
        <v>508</v>
      </c>
      <c r="C218" s="152" t="s">
        <v>499</v>
      </c>
      <c r="D218" t="s">
        <v>370</v>
      </c>
      <c r="E218" s="138"/>
      <c r="F218" t="s">
        <v>666</v>
      </c>
      <c r="G218" s="138"/>
      <c r="H218" t="s">
        <v>601</v>
      </c>
      <c r="I218" s="138"/>
      <c r="J218" s="153" t="s">
        <v>623</v>
      </c>
    </row>
    <row r="219" spans="1:10" ht="12">
      <c r="A219" s="120">
        <v>234</v>
      </c>
      <c r="B219" s="154" t="s">
        <v>512</v>
      </c>
      <c r="C219" s="152" t="s">
        <v>499</v>
      </c>
      <c r="D219" s="153" t="s">
        <v>441</v>
      </c>
      <c r="E219" s="138"/>
      <c r="F219" t="s">
        <v>663</v>
      </c>
      <c r="G219" s="138"/>
      <c r="H219" t="s">
        <v>436</v>
      </c>
      <c r="I219" s="138"/>
      <c r="J219" t="s">
        <v>466</v>
      </c>
    </row>
    <row r="220" spans="1:10" ht="12">
      <c r="A220" s="120">
        <v>241</v>
      </c>
      <c r="B220" s="154" t="s">
        <v>513</v>
      </c>
      <c r="C220" s="152" t="s">
        <v>500</v>
      </c>
      <c r="D220" s="153" t="s">
        <v>665</v>
      </c>
      <c r="E220" s="138"/>
      <c r="F220" t="s">
        <v>601</v>
      </c>
      <c r="G220" s="138"/>
      <c r="H220" t="s">
        <v>466</v>
      </c>
      <c r="I220" s="138"/>
      <c r="J220" s="153" t="s">
        <v>462</v>
      </c>
    </row>
    <row r="221" spans="1:10" ht="12">
      <c r="A221" s="120">
        <v>242</v>
      </c>
      <c r="B221" s="154" t="s">
        <v>511</v>
      </c>
      <c r="C221" s="152" t="s">
        <v>500</v>
      </c>
      <c r="D221" t="s">
        <v>423</v>
      </c>
      <c r="E221" s="138"/>
      <c r="F221" t="s">
        <v>605</v>
      </c>
      <c r="G221" s="138"/>
      <c r="H221" s="153" t="s">
        <v>666</v>
      </c>
      <c r="I221" s="138"/>
      <c r="J221" s="153" t="s">
        <v>441</v>
      </c>
    </row>
    <row r="222" spans="1:10" ht="12">
      <c r="A222" s="120">
        <v>243</v>
      </c>
      <c r="B222" s="154" t="s">
        <v>514</v>
      </c>
      <c r="C222" s="152" t="s">
        <v>500</v>
      </c>
      <c r="D222" t="s">
        <v>608</v>
      </c>
      <c r="E222" s="138"/>
      <c r="F222" t="s">
        <v>437</v>
      </c>
      <c r="G222" s="138"/>
      <c r="H222" t="s">
        <v>663</v>
      </c>
      <c r="I222" s="138"/>
      <c r="J222" t="s">
        <v>370</v>
      </c>
    </row>
    <row r="223" spans="1:10" ht="12">
      <c r="A223" s="120">
        <v>244</v>
      </c>
      <c r="B223" s="154" t="s">
        <v>502</v>
      </c>
      <c r="C223" s="152" t="s">
        <v>500</v>
      </c>
      <c r="D223" t="s">
        <v>503</v>
      </c>
      <c r="E223" s="138"/>
      <c r="F223" s="153" t="s">
        <v>664</v>
      </c>
      <c r="G223" s="138"/>
      <c r="H223" t="s">
        <v>623</v>
      </c>
      <c r="I223" s="138"/>
      <c r="J223" t="s">
        <v>436</v>
      </c>
    </row>
    <row r="224" spans="1:10" ht="12">
      <c r="A224" s="120">
        <v>251</v>
      </c>
      <c r="B224" s="154" t="s">
        <v>510</v>
      </c>
      <c r="C224" s="152" t="s">
        <v>501</v>
      </c>
      <c r="D224" t="s">
        <v>437</v>
      </c>
      <c r="E224" s="138"/>
      <c r="F224" t="s">
        <v>441</v>
      </c>
      <c r="G224" s="138"/>
      <c r="H224" t="s">
        <v>664</v>
      </c>
      <c r="I224" s="138"/>
      <c r="J224" s="153" t="s">
        <v>601</v>
      </c>
    </row>
    <row r="225" spans="1:10" ht="12">
      <c r="A225" s="120">
        <v>252</v>
      </c>
      <c r="B225" s="154" t="s">
        <v>515</v>
      </c>
      <c r="C225" s="152" t="s">
        <v>501</v>
      </c>
      <c r="D225" t="s">
        <v>605</v>
      </c>
      <c r="E225" s="138"/>
      <c r="F225" t="s">
        <v>623</v>
      </c>
      <c r="G225" s="138"/>
      <c r="H225" s="153" t="s">
        <v>462</v>
      </c>
      <c r="I225" s="138"/>
      <c r="J225" t="s">
        <v>663</v>
      </c>
    </row>
    <row r="226" spans="1:10" ht="12">
      <c r="A226" s="120">
        <v>253</v>
      </c>
      <c r="B226" s="154" t="s">
        <v>507</v>
      </c>
      <c r="C226" s="152" t="s">
        <v>501</v>
      </c>
      <c r="D226" t="s">
        <v>436</v>
      </c>
      <c r="E226" s="138"/>
      <c r="F226" t="s">
        <v>665</v>
      </c>
      <c r="G226" s="138"/>
      <c r="H226" s="153" t="s">
        <v>370</v>
      </c>
      <c r="I226" s="138"/>
      <c r="J226" t="s">
        <v>423</v>
      </c>
    </row>
    <row r="227" spans="1:10" ht="12">
      <c r="A227" s="120">
        <v>254</v>
      </c>
      <c r="B227" s="154" t="s">
        <v>505</v>
      </c>
      <c r="C227" s="152" t="s">
        <v>501</v>
      </c>
      <c r="D227" s="153" t="s">
        <v>466</v>
      </c>
      <c r="E227" s="138"/>
      <c r="F227" t="s">
        <v>608</v>
      </c>
      <c r="G227" s="138"/>
      <c r="H227" t="s">
        <v>503</v>
      </c>
      <c r="I227" s="138"/>
      <c r="J227" s="153" t="s">
        <v>666</v>
      </c>
    </row>
    <row r="228" spans="1:22" s="149" customFormat="1" ht="12">
      <c r="A228" s="117" t="s">
        <v>625</v>
      </c>
      <c r="B228" s="150" t="s">
        <v>485</v>
      </c>
      <c r="C228" s="147" t="s">
        <v>965</v>
      </c>
      <c r="D228" s="147" t="s">
        <v>593</v>
      </c>
      <c r="E228" s="147"/>
      <c r="F228" s="147" t="s">
        <v>938</v>
      </c>
      <c r="G228" s="147"/>
      <c r="H228" s="147" t="s">
        <v>939</v>
      </c>
      <c r="I228" s="147"/>
      <c r="J228" s="147" t="s">
        <v>940</v>
      </c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</row>
    <row r="229" spans="1:10" ht="12">
      <c r="A229" s="120">
        <v>311</v>
      </c>
      <c r="B229" s="153" t="s">
        <v>602</v>
      </c>
      <c r="C229" s="152" t="s">
        <v>496</v>
      </c>
      <c r="D229" t="s">
        <v>602</v>
      </c>
      <c r="E229" s="139"/>
      <c r="F229" t="s">
        <v>471</v>
      </c>
      <c r="G229" s="139"/>
      <c r="H229" t="s">
        <v>600</v>
      </c>
      <c r="I229" s="139"/>
      <c r="J229" t="s">
        <v>470</v>
      </c>
    </row>
    <row r="230" spans="1:10" ht="12">
      <c r="A230" s="120">
        <v>312</v>
      </c>
      <c r="B230" s="153" t="s">
        <v>647</v>
      </c>
      <c r="C230" s="152" t="s">
        <v>496</v>
      </c>
      <c r="D230" t="s">
        <v>626</v>
      </c>
      <c r="E230" s="139"/>
      <c r="F230" t="s">
        <v>433</v>
      </c>
      <c r="G230" s="139"/>
      <c r="H230" t="s">
        <v>465</v>
      </c>
      <c r="I230" s="139"/>
      <c r="J230" t="s">
        <v>431</v>
      </c>
    </row>
    <row r="231" spans="1:10" ht="12">
      <c r="A231" s="120">
        <v>313</v>
      </c>
      <c r="B231" s="153" t="s">
        <v>639</v>
      </c>
      <c r="C231" s="152" t="s">
        <v>496</v>
      </c>
      <c r="D231" t="s">
        <v>658</v>
      </c>
      <c r="E231" s="139"/>
      <c r="F231" t="s">
        <v>463</v>
      </c>
      <c r="G231" s="139"/>
      <c r="H231" t="s">
        <v>440</v>
      </c>
      <c r="I231" s="139"/>
      <c r="J231" t="s">
        <v>599</v>
      </c>
    </row>
    <row r="232" spans="1:10" ht="12">
      <c r="A232" s="120">
        <v>314</v>
      </c>
      <c r="B232" s="153" t="s">
        <v>460</v>
      </c>
      <c r="C232" s="152" t="s">
        <v>496</v>
      </c>
      <c r="D232" t="s">
        <v>475</v>
      </c>
      <c r="E232" s="139"/>
      <c r="F232" t="s">
        <v>473</v>
      </c>
      <c r="G232" s="139"/>
      <c r="H232" t="s">
        <v>432</v>
      </c>
      <c r="I232" s="139"/>
      <c r="J232" t="s">
        <v>642</v>
      </c>
    </row>
    <row r="233" spans="1:10" ht="12">
      <c r="A233" s="120">
        <v>321</v>
      </c>
      <c r="B233" s="153" t="s">
        <v>642</v>
      </c>
      <c r="C233" s="152" t="s">
        <v>497</v>
      </c>
      <c r="D233" t="s">
        <v>642</v>
      </c>
      <c r="E233" s="139"/>
      <c r="F233" t="s">
        <v>600</v>
      </c>
      <c r="G233" s="139"/>
      <c r="H233" t="s">
        <v>658</v>
      </c>
      <c r="I233" s="139"/>
      <c r="J233" t="s">
        <v>626</v>
      </c>
    </row>
    <row r="234" spans="1:10" ht="12">
      <c r="A234" s="120">
        <v>322</v>
      </c>
      <c r="B234" s="153" t="s">
        <v>440</v>
      </c>
      <c r="C234" s="152" t="s">
        <v>497</v>
      </c>
      <c r="D234" t="s">
        <v>440</v>
      </c>
      <c r="E234" s="139"/>
      <c r="F234" t="s">
        <v>475</v>
      </c>
      <c r="G234" s="139"/>
      <c r="H234" t="s">
        <v>470</v>
      </c>
      <c r="I234" s="139"/>
      <c r="J234" t="s">
        <v>433</v>
      </c>
    </row>
    <row r="235" spans="1:10" ht="12">
      <c r="A235" s="120">
        <v>323</v>
      </c>
      <c r="B235" s="153" t="s">
        <v>488</v>
      </c>
      <c r="C235" s="152" t="s">
        <v>497</v>
      </c>
      <c r="D235" t="s">
        <v>465</v>
      </c>
      <c r="E235" s="139"/>
      <c r="F235" t="s">
        <v>432</v>
      </c>
      <c r="G235" s="139"/>
      <c r="H235" t="s">
        <v>471</v>
      </c>
      <c r="I235" s="139"/>
      <c r="J235" t="s">
        <v>463</v>
      </c>
    </row>
    <row r="236" spans="1:10" ht="12">
      <c r="A236" s="120">
        <v>324</v>
      </c>
      <c r="B236" s="153" t="s">
        <v>602</v>
      </c>
      <c r="C236" s="152" t="s">
        <v>497</v>
      </c>
      <c r="D236" t="s">
        <v>602</v>
      </c>
      <c r="E236" s="139"/>
      <c r="F236" t="s">
        <v>431</v>
      </c>
      <c r="G236" s="139"/>
      <c r="H236" t="s">
        <v>473</v>
      </c>
      <c r="I236" s="139"/>
      <c r="J236" t="s">
        <v>599</v>
      </c>
    </row>
    <row r="237" spans="1:10" ht="12">
      <c r="A237" s="120">
        <v>331</v>
      </c>
      <c r="B237" s="153" t="s">
        <v>488</v>
      </c>
      <c r="C237" s="152" t="s">
        <v>499</v>
      </c>
      <c r="D237" t="s">
        <v>465</v>
      </c>
      <c r="E237" s="139"/>
      <c r="F237" t="s">
        <v>440</v>
      </c>
      <c r="G237" s="139"/>
      <c r="H237" t="s">
        <v>642</v>
      </c>
      <c r="I237" s="139"/>
      <c r="J237" t="s">
        <v>602</v>
      </c>
    </row>
    <row r="238" spans="1:10" ht="12">
      <c r="A238" s="120">
        <v>332</v>
      </c>
      <c r="B238" s="153" t="s">
        <v>486</v>
      </c>
      <c r="C238" s="152" t="s">
        <v>499</v>
      </c>
      <c r="D238" t="s">
        <v>431</v>
      </c>
      <c r="E238" s="139"/>
      <c r="F238" t="s">
        <v>658</v>
      </c>
      <c r="G238" s="139"/>
      <c r="H238" t="s">
        <v>471</v>
      </c>
      <c r="I238" s="139"/>
      <c r="J238" t="s">
        <v>475</v>
      </c>
    </row>
    <row r="239" spans="1:10" ht="12">
      <c r="A239" s="120">
        <v>333</v>
      </c>
      <c r="B239" s="153" t="s">
        <v>490</v>
      </c>
      <c r="C239" s="152" t="s">
        <v>499</v>
      </c>
      <c r="D239" t="s">
        <v>470</v>
      </c>
      <c r="E239" s="139"/>
      <c r="F239" t="s">
        <v>626</v>
      </c>
      <c r="G239" s="139"/>
      <c r="H239" t="s">
        <v>599</v>
      </c>
      <c r="I239" s="139"/>
      <c r="J239" t="s">
        <v>432</v>
      </c>
    </row>
    <row r="240" spans="1:10" ht="12">
      <c r="A240" s="120">
        <v>334</v>
      </c>
      <c r="B240" s="153" t="s">
        <v>435</v>
      </c>
      <c r="C240" s="152" t="s">
        <v>499</v>
      </c>
      <c r="D240" t="s">
        <v>433</v>
      </c>
      <c r="E240" s="139"/>
      <c r="F240" t="s">
        <v>473</v>
      </c>
      <c r="G240" s="139"/>
      <c r="H240" t="s">
        <v>463</v>
      </c>
      <c r="I240" s="139"/>
      <c r="J240" t="s">
        <v>600</v>
      </c>
    </row>
    <row r="241" spans="1:10" ht="12">
      <c r="A241" s="120">
        <v>341</v>
      </c>
      <c r="B241" s="153" t="s">
        <v>435</v>
      </c>
      <c r="C241" s="152" t="s">
        <v>500</v>
      </c>
      <c r="D241" t="s">
        <v>432</v>
      </c>
      <c r="E241" s="139"/>
      <c r="F241" t="s">
        <v>658</v>
      </c>
      <c r="G241" s="139"/>
      <c r="H241" t="s">
        <v>602</v>
      </c>
      <c r="I241" s="139"/>
      <c r="J241" t="s">
        <v>433</v>
      </c>
    </row>
    <row r="242" spans="1:10" ht="12">
      <c r="A242" s="120">
        <v>342</v>
      </c>
      <c r="B242" s="153" t="s">
        <v>446</v>
      </c>
      <c r="C242" s="152" t="s">
        <v>500</v>
      </c>
      <c r="D242" t="s">
        <v>463</v>
      </c>
      <c r="E242" s="139"/>
      <c r="F242" t="s">
        <v>470</v>
      </c>
      <c r="G242" s="139"/>
      <c r="H242" t="s">
        <v>431</v>
      </c>
      <c r="I242" s="139"/>
      <c r="J242" t="s">
        <v>642</v>
      </c>
    </row>
    <row r="243" spans="1:10" ht="12">
      <c r="A243" s="120">
        <v>343</v>
      </c>
      <c r="B243" s="153" t="s">
        <v>600</v>
      </c>
      <c r="C243" s="152" t="s">
        <v>500</v>
      </c>
      <c r="D243" t="s">
        <v>600</v>
      </c>
      <c r="E243" s="139"/>
      <c r="F243" t="s">
        <v>599</v>
      </c>
      <c r="G243" s="139"/>
      <c r="H243" t="s">
        <v>475</v>
      </c>
      <c r="I243" s="139"/>
      <c r="J243" t="s">
        <v>465</v>
      </c>
    </row>
    <row r="244" spans="1:10" ht="12">
      <c r="A244" s="120">
        <v>344</v>
      </c>
      <c r="B244" s="153" t="s">
        <v>440</v>
      </c>
      <c r="C244" s="152" t="s">
        <v>500</v>
      </c>
      <c r="D244" t="s">
        <v>440</v>
      </c>
      <c r="E244" s="139"/>
      <c r="F244" t="s">
        <v>471</v>
      </c>
      <c r="G244" s="139"/>
      <c r="H244" t="s">
        <v>626</v>
      </c>
      <c r="I244" s="139"/>
      <c r="J244" t="s">
        <v>473</v>
      </c>
    </row>
    <row r="245" spans="1:10" ht="12">
      <c r="A245" s="120">
        <v>351</v>
      </c>
      <c r="B245" s="153" t="s">
        <v>647</v>
      </c>
      <c r="C245" s="152" t="s">
        <v>501</v>
      </c>
      <c r="D245" t="s">
        <v>626</v>
      </c>
      <c r="E245" s="139"/>
      <c r="F245" t="s">
        <v>463</v>
      </c>
      <c r="G245" s="139"/>
      <c r="H245" t="s">
        <v>475</v>
      </c>
      <c r="I245" s="139"/>
      <c r="J245" t="s">
        <v>602</v>
      </c>
    </row>
    <row r="246" spans="1:10" ht="12">
      <c r="A246" s="120">
        <v>352</v>
      </c>
      <c r="B246" s="153" t="s">
        <v>473</v>
      </c>
      <c r="C246" s="152" t="s">
        <v>501</v>
      </c>
      <c r="D246" t="s">
        <v>473</v>
      </c>
      <c r="E246" s="139"/>
      <c r="F246" t="s">
        <v>465</v>
      </c>
      <c r="G246" s="139"/>
      <c r="H246" t="s">
        <v>470</v>
      </c>
      <c r="I246" s="139"/>
      <c r="J246" t="s">
        <v>658</v>
      </c>
    </row>
    <row r="247" spans="1:10" ht="12">
      <c r="A247" s="120">
        <v>353</v>
      </c>
      <c r="B247" s="153" t="s">
        <v>599</v>
      </c>
      <c r="C247" s="152" t="s">
        <v>501</v>
      </c>
      <c r="D247" t="s">
        <v>599</v>
      </c>
      <c r="E247" s="139"/>
      <c r="F247" t="s">
        <v>642</v>
      </c>
      <c r="G247" s="139"/>
      <c r="H247" t="s">
        <v>433</v>
      </c>
      <c r="I247" s="139"/>
      <c r="J247" t="s">
        <v>471</v>
      </c>
    </row>
    <row r="248" spans="1:10" ht="12">
      <c r="A248" s="120">
        <v>354</v>
      </c>
      <c r="B248" s="153" t="s">
        <v>600</v>
      </c>
      <c r="C248" s="152" t="s">
        <v>501</v>
      </c>
      <c r="D248" t="s">
        <v>600</v>
      </c>
      <c r="E248" s="139"/>
      <c r="F248" t="s">
        <v>432</v>
      </c>
      <c r="G248" s="139"/>
      <c r="H248" t="s">
        <v>431</v>
      </c>
      <c r="I248" s="139"/>
      <c r="J248" t="s">
        <v>440</v>
      </c>
    </row>
    <row r="249" spans="1:22" s="149" customFormat="1" ht="12">
      <c r="A249" s="117" t="s">
        <v>487</v>
      </c>
      <c r="B249" s="149" t="s">
        <v>484</v>
      </c>
      <c r="C249" s="147" t="s">
        <v>965</v>
      </c>
      <c r="D249" s="147" t="s">
        <v>593</v>
      </c>
      <c r="E249" s="147"/>
      <c r="F249" s="147" t="s">
        <v>938</v>
      </c>
      <c r="G249" s="147"/>
      <c r="H249" s="147" t="s">
        <v>939</v>
      </c>
      <c r="I249" s="147"/>
      <c r="J249" s="147" t="s">
        <v>940</v>
      </c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</row>
    <row r="250" spans="1:10" ht="12">
      <c r="A250" s="120">
        <v>411</v>
      </c>
      <c r="B250" s="153" t="s">
        <v>491</v>
      </c>
      <c r="C250" s="152" t="s">
        <v>496</v>
      </c>
      <c r="D250" t="s">
        <v>516</v>
      </c>
      <c r="E250"/>
      <c r="F250" t="s">
        <v>662</v>
      </c>
      <c r="G250"/>
      <c r="H250" t="s">
        <v>660</v>
      </c>
      <c r="I250"/>
      <c r="J250" t="s">
        <v>422</v>
      </c>
    </row>
    <row r="251" spans="1:10" ht="12">
      <c r="A251" s="120">
        <v>412</v>
      </c>
      <c r="B251" s="153" t="s">
        <v>420</v>
      </c>
      <c r="C251" s="152" t="s">
        <v>496</v>
      </c>
      <c r="D251" t="s">
        <v>468</v>
      </c>
      <c r="E251"/>
      <c r="F251" t="s">
        <v>517</v>
      </c>
      <c r="G251"/>
      <c r="H251" t="s">
        <v>640</v>
      </c>
      <c r="I251"/>
      <c r="J251" t="s">
        <v>630</v>
      </c>
    </row>
    <row r="252" spans="1:10" ht="12">
      <c r="A252" s="120">
        <v>413</v>
      </c>
      <c r="B252" s="153" t="s">
        <v>492</v>
      </c>
      <c r="C252" s="152" t="s">
        <v>496</v>
      </c>
      <c r="D252" t="s">
        <v>633</v>
      </c>
      <c r="E252"/>
      <c r="F252" t="s">
        <v>629</v>
      </c>
      <c r="G252"/>
      <c r="H252" t="s">
        <v>628</v>
      </c>
      <c r="I252"/>
      <c r="J252" t="s">
        <v>421</v>
      </c>
    </row>
    <row r="253" spans="1:12" ht="12">
      <c r="A253" s="120">
        <v>414</v>
      </c>
      <c r="B253" s="153" t="s">
        <v>489</v>
      </c>
      <c r="C253" s="152" t="s">
        <v>496</v>
      </c>
      <c r="D253" t="s">
        <v>464</v>
      </c>
      <c r="E253"/>
      <c r="F253" t="s">
        <v>469</v>
      </c>
      <c r="G253"/>
      <c r="H253" t="s">
        <v>518</v>
      </c>
      <c r="I253"/>
      <c r="J253" t="s">
        <v>519</v>
      </c>
      <c r="L253" s="41" t="s">
        <v>467</v>
      </c>
    </row>
    <row r="254" spans="1:10" ht="12">
      <c r="A254" s="120">
        <v>421</v>
      </c>
      <c r="B254" s="153" t="s">
        <v>491</v>
      </c>
      <c r="C254" s="152" t="s">
        <v>520</v>
      </c>
      <c r="D254" t="s">
        <v>516</v>
      </c>
      <c r="E254"/>
      <c r="F254" t="s">
        <v>630</v>
      </c>
      <c r="G254"/>
      <c r="H254" t="s">
        <v>519</v>
      </c>
      <c r="I254"/>
      <c r="J254" t="s">
        <v>628</v>
      </c>
    </row>
    <row r="255" spans="1:10" ht="12">
      <c r="A255" s="120">
        <v>422</v>
      </c>
      <c r="B255" s="153" t="s">
        <v>489</v>
      </c>
      <c r="C255" s="152" t="s">
        <v>497</v>
      </c>
      <c r="D255" t="s">
        <v>464</v>
      </c>
      <c r="E255"/>
      <c r="F255" t="s">
        <v>633</v>
      </c>
      <c r="G255"/>
      <c r="H255" t="s">
        <v>517</v>
      </c>
      <c r="I255"/>
      <c r="J255" t="s">
        <v>660</v>
      </c>
    </row>
    <row r="256" spans="1:12" ht="12">
      <c r="A256" s="120">
        <v>423</v>
      </c>
      <c r="B256" s="153" t="s">
        <v>420</v>
      </c>
      <c r="C256" s="152" t="s">
        <v>497</v>
      </c>
      <c r="D256" t="s">
        <v>468</v>
      </c>
      <c r="E256"/>
      <c r="F256" t="s">
        <v>422</v>
      </c>
      <c r="G256"/>
      <c r="H256" t="s">
        <v>469</v>
      </c>
      <c r="I256"/>
      <c r="J256" t="s">
        <v>629</v>
      </c>
      <c r="L256" s="41" t="s">
        <v>467</v>
      </c>
    </row>
    <row r="257" spans="1:10" ht="12">
      <c r="A257" s="120">
        <v>424</v>
      </c>
      <c r="B257" s="153" t="s">
        <v>661</v>
      </c>
      <c r="C257" s="152" t="s">
        <v>497</v>
      </c>
      <c r="D257" t="s">
        <v>662</v>
      </c>
      <c r="E257"/>
      <c r="F257" t="s">
        <v>640</v>
      </c>
      <c r="G257"/>
      <c r="H257" t="s">
        <v>421</v>
      </c>
      <c r="I257"/>
      <c r="J257" t="s">
        <v>518</v>
      </c>
    </row>
    <row r="258" spans="1:10" ht="12">
      <c r="A258" s="120">
        <v>431</v>
      </c>
      <c r="B258" s="153" t="s">
        <v>424</v>
      </c>
      <c r="C258" s="152" t="s">
        <v>499</v>
      </c>
      <c r="D258" t="s">
        <v>422</v>
      </c>
      <c r="E258"/>
      <c r="F258" t="s">
        <v>628</v>
      </c>
      <c r="G258"/>
      <c r="H258" t="s">
        <v>464</v>
      </c>
      <c r="I258"/>
      <c r="J258" t="s">
        <v>640</v>
      </c>
    </row>
    <row r="259" spans="1:12" ht="12">
      <c r="A259" s="120">
        <v>432</v>
      </c>
      <c r="B259" s="153" t="s">
        <v>622</v>
      </c>
      <c r="C259" s="152" t="s">
        <v>499</v>
      </c>
      <c r="D259" t="s">
        <v>421</v>
      </c>
      <c r="E259"/>
      <c r="F259" t="s">
        <v>660</v>
      </c>
      <c r="G259"/>
      <c r="H259" t="s">
        <v>630</v>
      </c>
      <c r="I259"/>
      <c r="J259" t="s">
        <v>469</v>
      </c>
      <c r="L259" s="41" t="s">
        <v>467</v>
      </c>
    </row>
    <row r="260" spans="1:10" ht="12">
      <c r="A260" s="120">
        <v>433</v>
      </c>
      <c r="B260" s="153" t="s">
        <v>521</v>
      </c>
      <c r="C260" s="152" t="s">
        <v>499</v>
      </c>
      <c r="D260" t="s">
        <v>517</v>
      </c>
      <c r="E260"/>
      <c r="F260" t="s">
        <v>518</v>
      </c>
      <c r="G260"/>
      <c r="H260" t="s">
        <v>629</v>
      </c>
      <c r="I260"/>
      <c r="J260" t="s">
        <v>516</v>
      </c>
    </row>
    <row r="261" spans="1:10" ht="12">
      <c r="A261" s="120">
        <v>434</v>
      </c>
      <c r="B261" s="153" t="s">
        <v>661</v>
      </c>
      <c r="C261" s="152" t="s">
        <v>499</v>
      </c>
      <c r="D261" t="s">
        <v>662</v>
      </c>
      <c r="E261"/>
      <c r="F261" t="s">
        <v>519</v>
      </c>
      <c r="G261"/>
      <c r="H261" t="s">
        <v>633</v>
      </c>
      <c r="I261"/>
      <c r="J261" t="s">
        <v>468</v>
      </c>
    </row>
    <row r="262" spans="1:10" ht="12">
      <c r="A262" s="120">
        <v>441</v>
      </c>
      <c r="B262" s="153" t="s">
        <v>420</v>
      </c>
      <c r="C262" s="152" t="s">
        <v>500</v>
      </c>
      <c r="D262" t="s">
        <v>468</v>
      </c>
      <c r="E262"/>
      <c r="F262" t="s">
        <v>421</v>
      </c>
      <c r="G262"/>
      <c r="H262" t="s">
        <v>516</v>
      </c>
      <c r="I262"/>
      <c r="J262" t="s">
        <v>464</v>
      </c>
    </row>
    <row r="263" spans="1:10" ht="12">
      <c r="A263" s="120">
        <v>442</v>
      </c>
      <c r="B263" s="153" t="s">
        <v>522</v>
      </c>
      <c r="C263" s="152" t="s">
        <v>500</v>
      </c>
      <c r="D263" t="s">
        <v>630</v>
      </c>
      <c r="E263"/>
      <c r="F263" t="s">
        <v>633</v>
      </c>
      <c r="G263"/>
      <c r="H263" t="s">
        <v>422</v>
      </c>
      <c r="I263"/>
      <c r="J263" t="s">
        <v>518</v>
      </c>
    </row>
    <row r="264" spans="1:10" ht="12">
      <c r="A264" s="120">
        <v>443</v>
      </c>
      <c r="B264" s="153" t="s">
        <v>425</v>
      </c>
      <c r="C264" s="152" t="s">
        <v>500</v>
      </c>
      <c r="D264" t="s">
        <v>660</v>
      </c>
      <c r="E264"/>
      <c r="F264" t="s">
        <v>629</v>
      </c>
      <c r="G264"/>
      <c r="H264" t="s">
        <v>640</v>
      </c>
      <c r="I264"/>
      <c r="J264" t="s">
        <v>519</v>
      </c>
    </row>
    <row r="265" spans="1:12" ht="12">
      <c r="A265" s="120">
        <v>444</v>
      </c>
      <c r="B265" s="153" t="s">
        <v>490</v>
      </c>
      <c r="C265" s="152" t="s">
        <v>500</v>
      </c>
      <c r="D265" t="s">
        <v>628</v>
      </c>
      <c r="E265"/>
      <c r="F265" t="s">
        <v>469</v>
      </c>
      <c r="G265"/>
      <c r="H265" t="s">
        <v>662</v>
      </c>
      <c r="I265"/>
      <c r="J265" t="s">
        <v>517</v>
      </c>
      <c r="L265" s="41" t="s">
        <v>467</v>
      </c>
    </row>
    <row r="266" spans="1:12" ht="12">
      <c r="A266" s="120">
        <v>451</v>
      </c>
      <c r="B266" s="153" t="s">
        <v>622</v>
      </c>
      <c r="C266" s="152" t="s">
        <v>501</v>
      </c>
      <c r="D266" t="s">
        <v>640</v>
      </c>
      <c r="E266"/>
      <c r="F266" t="s">
        <v>516</v>
      </c>
      <c r="G266"/>
      <c r="H266" t="s">
        <v>469</v>
      </c>
      <c r="I266"/>
      <c r="J266" t="s">
        <v>633</v>
      </c>
      <c r="L266" s="41" t="s">
        <v>467</v>
      </c>
    </row>
    <row r="267" spans="1:10" ht="12">
      <c r="A267" s="120">
        <v>452</v>
      </c>
      <c r="B267" s="153" t="s">
        <v>661</v>
      </c>
      <c r="C267" s="152" t="s">
        <v>501</v>
      </c>
      <c r="D267" t="s">
        <v>662</v>
      </c>
      <c r="E267"/>
      <c r="F267" t="s">
        <v>464</v>
      </c>
      <c r="G267"/>
      <c r="H267" t="s">
        <v>629</v>
      </c>
      <c r="I267"/>
      <c r="J267" t="s">
        <v>630</v>
      </c>
    </row>
    <row r="268" spans="1:10" ht="12">
      <c r="A268" s="120">
        <v>453</v>
      </c>
      <c r="B268" s="153" t="s">
        <v>518</v>
      </c>
      <c r="C268" s="152" t="s">
        <v>501</v>
      </c>
      <c r="D268" t="s">
        <v>518</v>
      </c>
      <c r="E268"/>
      <c r="F268" t="s">
        <v>468</v>
      </c>
      <c r="G268"/>
      <c r="H268" t="s">
        <v>660</v>
      </c>
      <c r="I268"/>
      <c r="J268" t="s">
        <v>628</v>
      </c>
    </row>
    <row r="269" spans="1:10" ht="12">
      <c r="A269" s="120">
        <v>454</v>
      </c>
      <c r="B269" s="153" t="s">
        <v>521</v>
      </c>
      <c r="C269" s="152" t="s">
        <v>501</v>
      </c>
      <c r="D269" t="s">
        <v>517</v>
      </c>
      <c r="E269"/>
      <c r="F269" t="s">
        <v>519</v>
      </c>
      <c r="G269"/>
      <c r="H269" t="s">
        <v>421</v>
      </c>
      <c r="I269"/>
      <c r="J269" t="s">
        <v>422</v>
      </c>
    </row>
    <row r="270" spans="1:22" s="149" customFormat="1" ht="12">
      <c r="A270" s="117" t="s">
        <v>487</v>
      </c>
      <c r="B270" s="149" t="s">
        <v>485</v>
      </c>
      <c r="C270" s="147" t="s">
        <v>965</v>
      </c>
      <c r="D270" s="147" t="s">
        <v>593</v>
      </c>
      <c r="E270" s="147"/>
      <c r="F270" s="147" t="s">
        <v>938</v>
      </c>
      <c r="G270" s="147"/>
      <c r="H270" s="147" t="s">
        <v>939</v>
      </c>
      <c r="I270" s="147"/>
      <c r="J270" s="149" t="s">
        <v>940</v>
      </c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  <c r="U270" s="148"/>
      <c r="V270" s="148"/>
    </row>
    <row r="271" spans="1:12" ht="12">
      <c r="A271" s="120">
        <v>511</v>
      </c>
      <c r="B271" s="154" t="s">
        <v>523</v>
      </c>
      <c r="C271" s="152" t="s">
        <v>496</v>
      </c>
      <c r="D271" t="s">
        <v>524</v>
      </c>
      <c r="E271" s="138"/>
      <c r="F271" t="s">
        <v>445</v>
      </c>
      <c r="G271" s="139"/>
      <c r="H271" t="s">
        <v>348</v>
      </c>
      <c r="I271" s="139"/>
      <c r="J271" t="s">
        <v>444</v>
      </c>
      <c r="L271" t="s">
        <v>349</v>
      </c>
    </row>
    <row r="272" spans="1:14" ht="12">
      <c r="A272" s="120">
        <v>512</v>
      </c>
      <c r="B272" s="154" t="s">
        <v>350</v>
      </c>
      <c r="C272" s="152" t="s">
        <v>496</v>
      </c>
      <c r="D272" t="s">
        <v>472</v>
      </c>
      <c r="E272" s="139"/>
      <c r="F272" t="s">
        <v>439</v>
      </c>
      <c r="G272" s="139"/>
      <c r="H272" t="s">
        <v>476</v>
      </c>
      <c r="I272" s="139"/>
      <c r="J272" t="s">
        <v>351</v>
      </c>
      <c r="L272" t="s">
        <v>631</v>
      </c>
      <c r="N272" s="41" t="s">
        <v>641</v>
      </c>
    </row>
    <row r="273" spans="1:12" ht="12">
      <c r="A273" s="120">
        <v>513</v>
      </c>
      <c r="B273" s="154" t="s">
        <v>352</v>
      </c>
      <c r="C273" s="152" t="s">
        <v>496</v>
      </c>
      <c r="D273" t="s">
        <v>632</v>
      </c>
      <c r="E273" s="139"/>
      <c r="F273" t="s">
        <v>474</v>
      </c>
      <c r="G273" s="139"/>
      <c r="H273" t="s">
        <v>353</v>
      </c>
      <c r="I273" s="139"/>
      <c r="J273" t="s">
        <v>354</v>
      </c>
      <c r="L273" t="s">
        <v>644</v>
      </c>
    </row>
    <row r="274" spans="1:12" ht="12">
      <c r="A274" s="120">
        <v>514</v>
      </c>
      <c r="B274" s="154" t="s">
        <v>355</v>
      </c>
      <c r="C274" s="152" t="s">
        <v>496</v>
      </c>
      <c r="D274" t="s">
        <v>428</v>
      </c>
      <c r="E274" s="139"/>
      <c r="F274" t="s">
        <v>427</v>
      </c>
      <c r="G274" s="139"/>
      <c r="H274" t="s">
        <v>429</v>
      </c>
      <c r="I274" s="139"/>
      <c r="J274" t="s">
        <v>426</v>
      </c>
      <c r="L274" t="s">
        <v>443</v>
      </c>
    </row>
    <row r="275" spans="1:14" ht="12">
      <c r="A275" s="120">
        <v>521</v>
      </c>
      <c r="B275" s="154" t="s">
        <v>356</v>
      </c>
      <c r="C275" s="152" t="s">
        <v>497</v>
      </c>
      <c r="D275" t="s">
        <v>351</v>
      </c>
      <c r="E275" s="139"/>
      <c r="F275" t="s">
        <v>632</v>
      </c>
      <c r="G275" s="139"/>
      <c r="H275" t="s">
        <v>445</v>
      </c>
      <c r="I275" s="139"/>
      <c r="J275" t="s">
        <v>428</v>
      </c>
      <c r="L275" t="s">
        <v>354</v>
      </c>
      <c r="N275" s="41" t="s">
        <v>429</v>
      </c>
    </row>
    <row r="276" spans="1:12" ht="12">
      <c r="A276" s="120">
        <v>522</v>
      </c>
      <c r="B276" s="154" t="s">
        <v>357</v>
      </c>
      <c r="C276" s="152" t="s">
        <v>497</v>
      </c>
      <c r="D276" t="s">
        <v>443</v>
      </c>
      <c r="E276" s="139"/>
      <c r="F276" t="s">
        <v>631</v>
      </c>
      <c r="G276" s="139"/>
      <c r="H276" t="s">
        <v>444</v>
      </c>
      <c r="I276" s="139"/>
      <c r="J276" t="s">
        <v>474</v>
      </c>
      <c r="L276" t="s">
        <v>439</v>
      </c>
    </row>
    <row r="277" spans="1:12" ht="12">
      <c r="A277" s="120">
        <v>523</v>
      </c>
      <c r="B277" s="154" t="s">
        <v>358</v>
      </c>
      <c r="C277" s="152" t="s">
        <v>497</v>
      </c>
      <c r="D277" t="s">
        <v>641</v>
      </c>
      <c r="E277" s="139"/>
      <c r="F277" t="s">
        <v>353</v>
      </c>
      <c r="G277" s="139"/>
      <c r="H277" t="s">
        <v>427</v>
      </c>
      <c r="I277" s="139"/>
      <c r="J277" t="s">
        <v>348</v>
      </c>
      <c r="L277" t="s">
        <v>476</v>
      </c>
    </row>
    <row r="278" spans="1:12" ht="12">
      <c r="A278" s="120">
        <v>524</v>
      </c>
      <c r="B278" s="154" t="s">
        <v>359</v>
      </c>
      <c r="C278" s="152" t="s">
        <v>497</v>
      </c>
      <c r="D278" t="s">
        <v>644</v>
      </c>
      <c r="E278" s="139"/>
      <c r="F278" t="s">
        <v>349</v>
      </c>
      <c r="G278" s="139"/>
      <c r="H278" t="s">
        <v>524</v>
      </c>
      <c r="I278" s="139"/>
      <c r="J278" t="s">
        <v>472</v>
      </c>
      <c r="L278" t="s">
        <v>426</v>
      </c>
    </row>
    <row r="279" spans="1:12" ht="12">
      <c r="A279" s="120">
        <v>531</v>
      </c>
      <c r="B279" s="154" t="s">
        <v>360</v>
      </c>
      <c r="C279" s="152" t="s">
        <v>499</v>
      </c>
      <c r="D279" t="s">
        <v>445</v>
      </c>
      <c r="E279" s="139"/>
      <c r="F279" t="s">
        <v>644</v>
      </c>
      <c r="G279" s="139"/>
      <c r="H279" t="s">
        <v>641</v>
      </c>
      <c r="I279" s="139"/>
      <c r="J279" t="s">
        <v>524</v>
      </c>
      <c r="L279" t="s">
        <v>443</v>
      </c>
    </row>
    <row r="280" spans="1:12" ht="12">
      <c r="A280" s="120">
        <v>532</v>
      </c>
      <c r="B280" s="154" t="s">
        <v>361</v>
      </c>
      <c r="C280" s="152" t="s">
        <v>499</v>
      </c>
      <c r="D280" t="s">
        <v>474</v>
      </c>
      <c r="E280" s="139"/>
      <c r="F280" t="s">
        <v>348</v>
      </c>
      <c r="G280" s="139"/>
      <c r="H280" t="s">
        <v>426</v>
      </c>
      <c r="I280" s="139"/>
      <c r="J280" t="s">
        <v>351</v>
      </c>
      <c r="L280" t="s">
        <v>429</v>
      </c>
    </row>
    <row r="281" spans="1:12" ht="12">
      <c r="A281" s="120">
        <v>533</v>
      </c>
      <c r="B281" s="154" t="s">
        <v>357</v>
      </c>
      <c r="C281" s="152" t="s">
        <v>499</v>
      </c>
      <c r="D281" t="s">
        <v>631</v>
      </c>
      <c r="E281" s="139"/>
      <c r="F281" t="s">
        <v>476</v>
      </c>
      <c r="G281" s="139"/>
      <c r="H281" t="s">
        <v>349</v>
      </c>
      <c r="I281" s="139"/>
      <c r="J281" t="s">
        <v>427</v>
      </c>
      <c r="L281" t="s">
        <v>632</v>
      </c>
    </row>
    <row r="282" spans="1:14" ht="12">
      <c r="A282" s="120">
        <v>534</v>
      </c>
      <c r="B282" s="154" t="s">
        <v>350</v>
      </c>
      <c r="C282" s="152" t="s">
        <v>499</v>
      </c>
      <c r="D282" t="s">
        <v>472</v>
      </c>
      <c r="E282" s="139"/>
      <c r="F282" t="s">
        <v>428</v>
      </c>
      <c r="G282" s="139"/>
      <c r="H282" t="s">
        <v>439</v>
      </c>
      <c r="I282" s="139"/>
      <c r="J282" t="s">
        <v>353</v>
      </c>
      <c r="L282" t="s">
        <v>444</v>
      </c>
      <c r="N282" s="41" t="s">
        <v>354</v>
      </c>
    </row>
    <row r="283" spans="1:14" ht="12">
      <c r="A283" s="120">
        <v>541</v>
      </c>
      <c r="B283" s="154" t="s">
        <v>356</v>
      </c>
      <c r="C283" s="152" t="s">
        <v>500</v>
      </c>
      <c r="D283" t="s">
        <v>351</v>
      </c>
      <c r="E283" s="139"/>
      <c r="F283" t="s">
        <v>444</v>
      </c>
      <c r="G283" s="139"/>
      <c r="H283" t="s">
        <v>476</v>
      </c>
      <c r="I283" s="139"/>
      <c r="J283" t="s">
        <v>644</v>
      </c>
      <c r="L283" t="s">
        <v>524</v>
      </c>
      <c r="N283" s="41" t="s">
        <v>427</v>
      </c>
    </row>
    <row r="284" spans="1:12" ht="12">
      <c r="A284" s="120">
        <v>542</v>
      </c>
      <c r="B284" s="154" t="s">
        <v>352</v>
      </c>
      <c r="C284" s="152" t="s">
        <v>500</v>
      </c>
      <c r="D284" t="s">
        <v>632</v>
      </c>
      <c r="E284" s="139"/>
      <c r="F284" t="s">
        <v>443</v>
      </c>
      <c r="G284" s="139"/>
      <c r="H284" t="s">
        <v>472</v>
      </c>
      <c r="I284" s="139"/>
      <c r="J284" t="s">
        <v>429</v>
      </c>
      <c r="L284" t="s">
        <v>348</v>
      </c>
    </row>
    <row r="285" spans="1:12" ht="12">
      <c r="A285" s="120">
        <v>543</v>
      </c>
      <c r="B285" s="154" t="s">
        <v>362</v>
      </c>
      <c r="C285" s="152" t="s">
        <v>500</v>
      </c>
      <c r="D285" t="s">
        <v>439</v>
      </c>
      <c r="E285" s="139"/>
      <c r="F285" t="s">
        <v>641</v>
      </c>
      <c r="G285" s="139"/>
      <c r="H285" t="s">
        <v>428</v>
      </c>
      <c r="I285" s="139"/>
      <c r="J285" t="s">
        <v>349</v>
      </c>
      <c r="L285" t="s">
        <v>474</v>
      </c>
    </row>
    <row r="286" spans="1:12" ht="12">
      <c r="A286" s="120">
        <v>544</v>
      </c>
      <c r="B286" s="154" t="s">
        <v>363</v>
      </c>
      <c r="C286" s="152" t="s">
        <v>500</v>
      </c>
      <c r="D286" t="s">
        <v>353</v>
      </c>
      <c r="E286" s="139"/>
      <c r="F286" t="s">
        <v>354</v>
      </c>
      <c r="G286" s="139"/>
      <c r="H286" t="s">
        <v>631</v>
      </c>
      <c r="I286" s="139"/>
      <c r="J286" t="s">
        <v>426</v>
      </c>
      <c r="L286" t="s">
        <v>445</v>
      </c>
    </row>
    <row r="287" spans="1:12" ht="12">
      <c r="A287" s="120">
        <v>551</v>
      </c>
      <c r="B287" s="154" t="s">
        <v>364</v>
      </c>
      <c r="C287" s="152" t="s">
        <v>501</v>
      </c>
      <c r="D287" t="s">
        <v>349</v>
      </c>
      <c r="E287" s="139"/>
      <c r="F287" t="s">
        <v>443</v>
      </c>
      <c r="G287" s="139"/>
      <c r="H287" t="s">
        <v>351</v>
      </c>
      <c r="I287" s="139"/>
      <c r="J287" t="s">
        <v>476</v>
      </c>
      <c r="L287" t="s">
        <v>353</v>
      </c>
    </row>
    <row r="288" spans="1:12" ht="12">
      <c r="A288" s="120">
        <v>552</v>
      </c>
      <c r="B288" s="154" t="s">
        <v>365</v>
      </c>
      <c r="C288" s="152" t="s">
        <v>501</v>
      </c>
      <c r="D288" t="s">
        <v>348</v>
      </c>
      <c r="E288" s="139"/>
      <c r="F288" t="s">
        <v>524</v>
      </c>
      <c r="G288" s="139"/>
      <c r="H288" t="s">
        <v>644</v>
      </c>
      <c r="I288" s="139"/>
      <c r="J288" t="s">
        <v>631</v>
      </c>
      <c r="L288" t="s">
        <v>428</v>
      </c>
    </row>
    <row r="289" spans="1:12" ht="12">
      <c r="A289" s="120">
        <v>553</v>
      </c>
      <c r="B289" s="154" t="s">
        <v>358</v>
      </c>
      <c r="C289" s="152" t="s">
        <v>501</v>
      </c>
      <c r="D289" t="s">
        <v>641</v>
      </c>
      <c r="E289" s="139"/>
      <c r="F289" t="s">
        <v>426</v>
      </c>
      <c r="G289" s="139"/>
      <c r="H289" t="s">
        <v>632</v>
      </c>
      <c r="I289" s="139"/>
      <c r="J289" t="s">
        <v>444</v>
      </c>
      <c r="L289" t="s">
        <v>354</v>
      </c>
    </row>
    <row r="290" spans="1:14" ht="12">
      <c r="A290" s="120">
        <v>554</v>
      </c>
      <c r="B290" s="154" t="s">
        <v>363</v>
      </c>
      <c r="C290" s="152" t="s">
        <v>501</v>
      </c>
      <c r="D290" t="s">
        <v>427</v>
      </c>
      <c r="E290" s="113"/>
      <c r="F290" t="s">
        <v>429</v>
      </c>
      <c r="G290" s="113"/>
      <c r="H290" t="s">
        <v>474</v>
      </c>
      <c r="J290" t="s">
        <v>439</v>
      </c>
      <c r="L290" t="s">
        <v>472</v>
      </c>
      <c r="N290" s="41" t="s">
        <v>445</v>
      </c>
    </row>
    <row r="291" ht="12">
      <c r="B291" s="148" t="s">
        <v>948</v>
      </c>
    </row>
    <row r="292" spans="1:13" ht="12">
      <c r="A292" s="117" t="s">
        <v>786</v>
      </c>
      <c r="B292" s="41" t="s">
        <v>946</v>
      </c>
      <c r="C292" s="41" t="s">
        <v>947</v>
      </c>
      <c r="D292" s="41" t="s">
        <v>992</v>
      </c>
      <c r="F292" s="41" t="s">
        <v>996</v>
      </c>
      <c r="G292" s="41" t="s">
        <v>993</v>
      </c>
      <c r="H292" s="41" t="s">
        <v>997</v>
      </c>
      <c r="I292" s="41" t="s">
        <v>994</v>
      </c>
      <c r="J292" s="41" t="s">
        <v>998</v>
      </c>
      <c r="K292" t="s">
        <v>451</v>
      </c>
      <c r="L292" t="s">
        <v>452</v>
      </c>
      <c r="M292" t="s">
        <v>453</v>
      </c>
    </row>
    <row r="293" spans="1:14" ht="12">
      <c r="A293" s="123" t="s">
        <v>981</v>
      </c>
      <c r="B293" s="33" t="s">
        <v>999</v>
      </c>
      <c r="C293" s="33" t="s">
        <v>1009</v>
      </c>
      <c r="D293" s="33" t="s">
        <v>1022</v>
      </c>
      <c r="E293" s="33"/>
      <c r="F293" s="33" t="s">
        <v>1037</v>
      </c>
      <c r="G293" s="33" t="s">
        <v>1043</v>
      </c>
      <c r="H293" s="33" t="s">
        <v>977</v>
      </c>
      <c r="I293" s="33" t="s">
        <v>1061</v>
      </c>
      <c r="J293" s="33" t="s">
        <v>1070</v>
      </c>
      <c r="K293">
        <v>7.6239</v>
      </c>
      <c r="L293" s="144">
        <v>17.0267</v>
      </c>
      <c r="M293" s="143">
        <v>2.5684</v>
      </c>
      <c r="N293"/>
    </row>
    <row r="294" spans="1:14" ht="12">
      <c r="A294" s="123" t="s">
        <v>982</v>
      </c>
      <c r="B294" s="33" t="s">
        <v>1000</v>
      </c>
      <c r="C294" s="33" t="s">
        <v>1010</v>
      </c>
      <c r="D294" s="33" t="s">
        <v>1023</v>
      </c>
      <c r="E294" s="33"/>
      <c r="F294" s="33" t="s">
        <v>1038</v>
      </c>
      <c r="G294" s="33" t="s">
        <v>1044</v>
      </c>
      <c r="H294" s="33" t="s">
        <v>949</v>
      </c>
      <c r="I294" s="33" t="s">
        <v>950</v>
      </c>
      <c r="J294" s="33" t="s">
        <v>952</v>
      </c>
      <c r="K294">
        <v>2.1117039999999996</v>
      </c>
      <c r="L294" s="144">
        <v>34.016</v>
      </c>
      <c r="M294" s="143">
        <v>2.3925</v>
      </c>
      <c r="N294"/>
    </row>
    <row r="295" spans="1:14" ht="12">
      <c r="A295" s="123" t="s">
        <v>983</v>
      </c>
      <c r="B295" s="33" t="s">
        <v>1001</v>
      </c>
      <c r="C295" s="33" t="s">
        <v>1011</v>
      </c>
      <c r="D295" s="33" t="s">
        <v>961</v>
      </c>
      <c r="E295" s="33"/>
      <c r="F295" s="33" t="s">
        <v>1039</v>
      </c>
      <c r="G295" s="33" t="s">
        <v>1045</v>
      </c>
      <c r="H295" s="33" t="s">
        <v>1053</v>
      </c>
      <c r="I295" s="33" t="s">
        <v>1027</v>
      </c>
      <c r="J295" s="33" t="s">
        <v>1071</v>
      </c>
      <c r="K295">
        <v>0.2388</v>
      </c>
      <c r="L295" s="144">
        <v>80</v>
      </c>
      <c r="M295" s="143">
        <v>2.3724</v>
      </c>
      <c r="N295"/>
    </row>
    <row r="296" spans="1:14" ht="12">
      <c r="A296" s="123" t="s">
        <v>984</v>
      </c>
      <c r="B296" s="33" t="s">
        <v>1002</v>
      </c>
      <c r="C296" s="33" t="s">
        <v>1012</v>
      </c>
      <c r="D296" s="33" t="s">
        <v>1024</v>
      </c>
      <c r="E296" s="33"/>
      <c r="F296" s="33" t="s">
        <v>1040</v>
      </c>
      <c r="G296" s="33" t="s">
        <v>1046</v>
      </c>
      <c r="H296" s="33" t="s">
        <v>1054</v>
      </c>
      <c r="I296" s="33" t="s">
        <v>1062</v>
      </c>
      <c r="J296" s="33" t="s">
        <v>1072</v>
      </c>
      <c r="K296">
        <v>0.011340000000000001</v>
      </c>
      <c r="L296" s="145">
        <v>190.01</v>
      </c>
      <c r="M296" s="145">
        <v>2.597</v>
      </c>
      <c r="N296"/>
    </row>
    <row r="297" spans="1:13" ht="12">
      <c r="A297" s="123" t="s">
        <v>985</v>
      </c>
      <c r="B297" s="33" t="s">
        <v>1003</v>
      </c>
      <c r="C297" s="33" t="s">
        <v>962</v>
      </c>
      <c r="D297" s="33" t="s">
        <v>1025</v>
      </c>
      <c r="E297" s="33"/>
      <c r="F297" s="33" t="s">
        <v>962</v>
      </c>
      <c r="G297" s="33" t="s">
        <v>1003</v>
      </c>
      <c r="H297" s="33" t="s">
        <v>1055</v>
      </c>
      <c r="I297" s="33" t="s">
        <v>1063</v>
      </c>
      <c r="J297" s="33" t="s">
        <v>978</v>
      </c>
      <c r="K297">
        <v>0.0015435</v>
      </c>
      <c r="L297" s="145">
        <v>405.005</v>
      </c>
      <c r="M297" s="145">
        <v>2.5743</v>
      </c>
    </row>
    <row r="298" spans="1:13" ht="12">
      <c r="A298" s="123" t="s">
        <v>857</v>
      </c>
      <c r="B298" s="33"/>
      <c r="C298" s="33" t="s">
        <v>582</v>
      </c>
      <c r="D298" s="33" t="s">
        <v>581</v>
      </c>
      <c r="E298" s="33"/>
      <c r="F298" s="33" t="s">
        <v>581</v>
      </c>
      <c r="G298" s="33" t="s">
        <v>583</v>
      </c>
      <c r="H298" s="33" t="s">
        <v>584</v>
      </c>
      <c r="I298" s="33" t="s">
        <v>585</v>
      </c>
      <c r="J298" s="33" t="s">
        <v>1048</v>
      </c>
      <c r="K298">
        <v>0.0036435</v>
      </c>
      <c r="L298">
        <v>830.00238</v>
      </c>
      <c r="M298">
        <v>2.1444</v>
      </c>
    </row>
    <row r="299" spans="1:13" ht="12">
      <c r="A299" s="123" t="s">
        <v>995</v>
      </c>
      <c r="B299" s="33"/>
      <c r="C299" s="33" t="s">
        <v>1013</v>
      </c>
      <c r="D299" s="33" t="s">
        <v>1026</v>
      </c>
      <c r="E299" s="33"/>
      <c r="F299" s="33" t="s">
        <v>1026</v>
      </c>
      <c r="G299" s="33" t="s">
        <v>1013</v>
      </c>
      <c r="H299" s="33" t="s">
        <v>1056</v>
      </c>
      <c r="I299" s="33" t="s">
        <v>1064</v>
      </c>
      <c r="J299" s="33" t="s">
        <v>1073</v>
      </c>
      <c r="K299">
        <v>0.007476</v>
      </c>
      <c r="L299" s="145">
        <v>1400</v>
      </c>
      <c r="M299" s="145">
        <v>1.86632</v>
      </c>
    </row>
    <row r="300" spans="1:13" ht="12">
      <c r="A300" s="120" t="s">
        <v>987</v>
      </c>
      <c r="B300" s="33"/>
      <c r="C300" s="33" t="s">
        <v>953</v>
      </c>
      <c r="D300" s="33" t="s">
        <v>953</v>
      </c>
      <c r="E300" s="33"/>
      <c r="F300" s="33" t="s">
        <v>953</v>
      </c>
      <c r="G300" s="33" t="s">
        <v>954</v>
      </c>
      <c r="H300" s="33" t="s">
        <v>955</v>
      </c>
      <c r="I300" s="33" t="s">
        <v>1065</v>
      </c>
      <c r="J300" s="33" t="s">
        <v>956</v>
      </c>
      <c r="K300">
        <v>5.3244568</v>
      </c>
      <c r="L300" s="144">
        <v>29.22918</v>
      </c>
      <c r="M300" s="143">
        <v>1.91288</v>
      </c>
    </row>
    <row r="301" spans="1:13" ht="12">
      <c r="A301" s="120" t="s">
        <v>986</v>
      </c>
      <c r="B301" s="33" t="s">
        <v>1001</v>
      </c>
      <c r="C301" s="33" t="s">
        <v>951</v>
      </c>
      <c r="D301" s="33" t="s">
        <v>1027</v>
      </c>
      <c r="E301" s="33"/>
      <c r="F301" s="33" t="s">
        <v>951</v>
      </c>
      <c r="G301" s="33" t="s">
        <v>1047</v>
      </c>
      <c r="H301" s="33" t="s">
        <v>1057</v>
      </c>
      <c r="I301" s="33" t="s">
        <v>1066</v>
      </c>
      <c r="J301" s="33" t="s">
        <v>980</v>
      </c>
      <c r="K301">
        <v>0.626703</v>
      </c>
      <c r="L301" s="144">
        <v>100.01443</v>
      </c>
      <c r="M301" s="143">
        <v>1.89275</v>
      </c>
    </row>
    <row r="302" spans="1:13" ht="12">
      <c r="A302" s="120" t="s">
        <v>650</v>
      </c>
      <c r="B302" s="33"/>
      <c r="C302" s="33" t="s">
        <v>580</v>
      </c>
      <c r="D302" s="33" t="s">
        <v>657</v>
      </c>
      <c r="E302" s="33"/>
      <c r="F302" s="33" t="s">
        <v>527</v>
      </c>
      <c r="G302" s="33"/>
      <c r="H302" s="33"/>
      <c r="I302" s="33"/>
      <c r="J302" s="33"/>
      <c r="K302">
        <v>0.0040759661</v>
      </c>
      <c r="L302">
        <v>659.32</v>
      </c>
      <c r="M302">
        <v>2.1627</v>
      </c>
    </row>
    <row r="303" spans="1:13" ht="12">
      <c r="A303" s="120" t="s">
        <v>651</v>
      </c>
      <c r="B303" s="33"/>
      <c r="C303" s="33" t="s">
        <v>1014</v>
      </c>
      <c r="D303" s="33" t="s">
        <v>1014</v>
      </c>
      <c r="E303" s="33"/>
      <c r="F303" s="33" t="s">
        <v>1014</v>
      </c>
      <c r="G303" s="33" t="s">
        <v>1048</v>
      </c>
      <c r="H303" s="33" t="s">
        <v>979</v>
      </c>
      <c r="I303" s="33" t="s">
        <v>1067</v>
      </c>
      <c r="J303" s="33" t="s">
        <v>1074</v>
      </c>
      <c r="K303">
        <v>0.001029</v>
      </c>
      <c r="L303" s="145">
        <v>1050</v>
      </c>
      <c r="M303" s="145">
        <v>2.20749</v>
      </c>
    </row>
    <row r="304" spans="1:13" ht="12">
      <c r="A304" s="120" t="s">
        <v>899</v>
      </c>
      <c r="B304" s="33" t="s">
        <v>1005</v>
      </c>
      <c r="C304" s="33" t="s">
        <v>1016</v>
      </c>
      <c r="D304" s="33" t="s">
        <v>1029</v>
      </c>
      <c r="E304" s="33"/>
      <c r="F304" s="33" t="s">
        <v>1041</v>
      </c>
      <c r="G304" s="33" t="s">
        <v>1050</v>
      </c>
      <c r="H304" s="33" t="s">
        <v>1059</v>
      </c>
      <c r="I304" s="33" t="s">
        <v>1069</v>
      </c>
      <c r="J304" s="33" t="s">
        <v>1076</v>
      </c>
      <c r="K304" s="146">
        <v>835.004907</v>
      </c>
      <c r="L304" s="146">
        <v>1</v>
      </c>
      <c r="M304" s="143">
        <v>0.9798</v>
      </c>
    </row>
    <row r="305" spans="1:13" ht="12">
      <c r="A305" s="120" t="s">
        <v>905</v>
      </c>
      <c r="B305" s="33" t="s">
        <v>1004</v>
      </c>
      <c r="C305" s="33" t="s">
        <v>1015</v>
      </c>
      <c r="D305" s="33" t="s">
        <v>1028</v>
      </c>
      <c r="E305" s="33"/>
      <c r="F305" s="33" t="s">
        <v>1028</v>
      </c>
      <c r="G305" s="33" t="s">
        <v>1049</v>
      </c>
      <c r="H305" s="33" t="s">
        <v>1058</v>
      </c>
      <c r="I305" s="33" t="s">
        <v>1068</v>
      </c>
      <c r="J305" s="33" t="s">
        <v>1075</v>
      </c>
      <c r="K305" s="146">
        <v>268.931775</v>
      </c>
      <c r="L305" s="146">
        <v>0.9992</v>
      </c>
      <c r="M305" s="143">
        <v>0.9119</v>
      </c>
    </row>
    <row r="306" spans="1:13" ht="12">
      <c r="A306" s="120" t="s">
        <v>900</v>
      </c>
      <c r="B306" s="33" t="s">
        <v>1006</v>
      </c>
      <c r="C306" s="33" t="s">
        <v>1017</v>
      </c>
      <c r="D306" s="33" t="s">
        <v>1030</v>
      </c>
      <c r="E306" s="33"/>
      <c r="F306" s="33" t="s">
        <v>1042</v>
      </c>
      <c r="G306" s="33" t="s">
        <v>1051</v>
      </c>
      <c r="H306" s="33" t="s">
        <v>1051</v>
      </c>
      <c r="I306" s="33" t="s">
        <v>957</v>
      </c>
      <c r="J306" s="33" t="s">
        <v>1077</v>
      </c>
      <c r="K306" s="146">
        <v>172.527894</v>
      </c>
      <c r="L306" s="146">
        <v>2.5</v>
      </c>
      <c r="M306" s="143">
        <v>1.0562</v>
      </c>
    </row>
    <row r="307" spans="1:13" ht="12">
      <c r="A307" s="120" t="s">
        <v>901</v>
      </c>
      <c r="B307" s="33" t="s">
        <v>1007</v>
      </c>
      <c r="C307" s="33" t="s">
        <v>1018</v>
      </c>
      <c r="D307" s="33" t="s">
        <v>1031</v>
      </c>
      <c r="E307" s="33"/>
      <c r="F307" s="33" t="s">
        <v>1007</v>
      </c>
      <c r="G307" s="33" t="s">
        <v>1052</v>
      </c>
      <c r="H307" s="33" t="s">
        <v>1008</v>
      </c>
      <c r="I307" s="33" t="s">
        <v>959</v>
      </c>
      <c r="J307" s="33" t="s">
        <v>1078</v>
      </c>
      <c r="K307" s="146">
        <v>183.302392</v>
      </c>
      <c r="L307" s="146">
        <v>7</v>
      </c>
      <c r="M307" s="143">
        <v>0.7872</v>
      </c>
    </row>
    <row r="308" spans="1:13" ht="12">
      <c r="A308" s="120" t="s">
        <v>988</v>
      </c>
      <c r="B308" s="33"/>
      <c r="C308" s="33" t="s">
        <v>1008</v>
      </c>
      <c r="D308" s="33" t="s">
        <v>1008</v>
      </c>
      <c r="E308" s="33"/>
      <c r="F308" s="33" t="s">
        <v>1008</v>
      </c>
      <c r="G308" s="33" t="s">
        <v>1008</v>
      </c>
      <c r="H308" s="33" t="s">
        <v>1008</v>
      </c>
      <c r="I308" s="33" t="s">
        <v>959</v>
      </c>
      <c r="J308" s="33" t="s">
        <v>958</v>
      </c>
      <c r="K308" s="146">
        <v>196.43130499999998</v>
      </c>
      <c r="L308" s="146">
        <v>5</v>
      </c>
      <c r="M308" s="143">
        <v>0.6549</v>
      </c>
    </row>
    <row r="309" spans="1:13" ht="12">
      <c r="A309" s="120" t="s">
        <v>989</v>
      </c>
      <c r="B309" s="33"/>
      <c r="C309" s="33" t="s">
        <v>960</v>
      </c>
      <c r="D309" s="33" t="s">
        <v>1032</v>
      </c>
      <c r="E309" s="33"/>
      <c r="F309" s="33" t="s">
        <v>1032</v>
      </c>
      <c r="G309" s="33" t="s">
        <v>1032</v>
      </c>
      <c r="H309" s="33" t="s">
        <v>1032</v>
      </c>
      <c r="I309" s="33" t="s">
        <v>1032</v>
      </c>
      <c r="J309" s="33" t="s">
        <v>1032</v>
      </c>
      <c r="K309" s="146">
        <v>97.433235</v>
      </c>
      <c r="L309" s="146">
        <v>11</v>
      </c>
      <c r="M309" s="143">
        <v>0.5948</v>
      </c>
    </row>
    <row r="310" spans="1:13" ht="12">
      <c r="A310" s="120" t="s">
        <v>991</v>
      </c>
      <c r="B310" s="33"/>
      <c r="C310" s="33" t="s">
        <v>960</v>
      </c>
      <c r="D310" s="33" t="s">
        <v>1034</v>
      </c>
      <c r="E310" s="33"/>
      <c r="F310" s="33" t="s">
        <v>1034</v>
      </c>
      <c r="G310" s="33" t="s">
        <v>1034</v>
      </c>
      <c r="H310" s="33" t="s">
        <v>1060</v>
      </c>
      <c r="I310" s="33" t="s">
        <v>1032</v>
      </c>
      <c r="J310" s="33" t="s">
        <v>779</v>
      </c>
      <c r="K310" s="146">
        <v>94.17156800000001</v>
      </c>
      <c r="L310" s="146">
        <v>7.5</v>
      </c>
      <c r="M310" s="143">
        <v>0.5573</v>
      </c>
    </row>
    <row r="311" spans="1:13" ht="12">
      <c r="A311" s="120" t="s">
        <v>990</v>
      </c>
      <c r="B311" s="33"/>
      <c r="C311" s="33" t="s">
        <v>1019</v>
      </c>
      <c r="D311" s="33" t="s">
        <v>1033</v>
      </c>
      <c r="E311" s="33"/>
      <c r="F311" s="33" t="s">
        <v>1033</v>
      </c>
      <c r="G311" s="33" t="s">
        <v>1033</v>
      </c>
      <c r="H311" s="33" t="s">
        <v>1060</v>
      </c>
      <c r="I311" s="33" t="s">
        <v>1060</v>
      </c>
      <c r="J311" s="33" t="s">
        <v>1060</v>
      </c>
      <c r="K311" s="146">
        <v>53.863130000000005</v>
      </c>
      <c r="L311" s="146">
        <v>10</v>
      </c>
      <c r="M311" s="143">
        <v>0.707</v>
      </c>
    </row>
    <row r="312" spans="1:13" ht="12">
      <c r="A312" s="120" t="s">
        <v>907</v>
      </c>
      <c r="B312" s="33"/>
      <c r="C312" s="33" t="s">
        <v>1020</v>
      </c>
      <c r="D312" s="33" t="s">
        <v>1035</v>
      </c>
      <c r="E312" s="33"/>
      <c r="F312" s="33"/>
      <c r="G312" s="33"/>
      <c r="H312" s="33"/>
      <c r="I312" s="33"/>
      <c r="J312" s="33"/>
      <c r="K312">
        <v>1.78584</v>
      </c>
      <c r="L312" s="144">
        <v>57.98</v>
      </c>
      <c r="M312" s="143">
        <v>2.19126</v>
      </c>
    </row>
    <row r="313" spans="1:13" ht="12">
      <c r="A313" s="120" t="s">
        <v>908</v>
      </c>
      <c r="B313" s="33"/>
      <c r="C313" s="33" t="s">
        <v>1021</v>
      </c>
      <c r="D313" s="33" t="s">
        <v>1036</v>
      </c>
      <c r="E313" s="33"/>
      <c r="F313" s="33"/>
      <c r="G313" s="33"/>
      <c r="H313" s="33"/>
      <c r="I313" s="33"/>
      <c r="J313" s="33"/>
      <c r="K313">
        <v>0.05466</v>
      </c>
      <c r="L313" s="145">
        <v>283</v>
      </c>
      <c r="M313" s="145">
        <v>2.14528</v>
      </c>
    </row>
    <row r="314" spans="1:13" ht="12">
      <c r="A314" s="117" t="s">
        <v>791</v>
      </c>
      <c r="B314" s="41" t="s">
        <v>946</v>
      </c>
      <c r="C314" s="41" t="s">
        <v>947</v>
      </c>
      <c r="D314" s="33" t="s">
        <v>858</v>
      </c>
      <c r="E314" s="41" t="s">
        <v>742</v>
      </c>
      <c r="F314" s="41" t="s">
        <v>743</v>
      </c>
      <c r="G314" s="41" t="s">
        <v>744</v>
      </c>
      <c r="H314" s="41" t="s">
        <v>745</v>
      </c>
      <c r="I314" s="41" t="s">
        <v>746</v>
      </c>
      <c r="J314" s="41" t="s">
        <v>747</v>
      </c>
      <c r="K314" t="s">
        <v>451</v>
      </c>
      <c r="L314" t="s">
        <v>452</v>
      </c>
      <c r="M314" t="s">
        <v>453</v>
      </c>
    </row>
    <row r="315" spans="1:13" ht="12">
      <c r="A315" s="123" t="s">
        <v>981</v>
      </c>
      <c r="B315" s="33" t="s">
        <v>748</v>
      </c>
      <c r="C315" s="33" t="s">
        <v>748</v>
      </c>
      <c r="D315" s="41" t="s">
        <v>977</v>
      </c>
      <c r="E315" s="33" t="s">
        <v>749</v>
      </c>
      <c r="F315" s="33" t="s">
        <v>750</v>
      </c>
      <c r="G315" s="33" t="s">
        <v>751</v>
      </c>
      <c r="H315" s="33" t="s">
        <v>752</v>
      </c>
      <c r="I315" s="33" t="s">
        <v>753</v>
      </c>
      <c r="J315" s="33" t="s">
        <v>754</v>
      </c>
      <c r="K315">
        <v>4.3409</v>
      </c>
      <c r="L315">
        <v>20.66627</v>
      </c>
      <c r="M315">
        <v>2.45484</v>
      </c>
    </row>
    <row r="316" spans="1:13" ht="12">
      <c r="A316" s="123" t="s">
        <v>982</v>
      </c>
      <c r="B316" s="33" t="s">
        <v>755</v>
      </c>
      <c r="C316" s="33" t="s">
        <v>756</v>
      </c>
      <c r="D316" s="41" t="s">
        <v>949</v>
      </c>
      <c r="E316" s="33" t="s">
        <v>950</v>
      </c>
      <c r="F316" s="33" t="s">
        <v>952</v>
      </c>
      <c r="G316" s="33" t="s">
        <v>757</v>
      </c>
      <c r="H316" s="33" t="s">
        <v>758</v>
      </c>
      <c r="I316" s="33" t="s">
        <v>759</v>
      </c>
      <c r="J316" s="33" t="s">
        <v>760</v>
      </c>
      <c r="K316">
        <v>0.21285</v>
      </c>
      <c r="L316">
        <v>45.01528</v>
      </c>
      <c r="M316">
        <v>2.75189</v>
      </c>
    </row>
    <row r="317" spans="1:13" ht="12">
      <c r="A317" s="123" t="s">
        <v>983</v>
      </c>
      <c r="B317" s="33" t="s">
        <v>761</v>
      </c>
      <c r="C317" s="33" t="s">
        <v>761</v>
      </c>
      <c r="D317" s="41" t="s">
        <v>951</v>
      </c>
      <c r="E317" s="33" t="s">
        <v>951</v>
      </c>
      <c r="F317" s="33" t="s">
        <v>762</v>
      </c>
      <c r="G317" s="33" t="s">
        <v>763</v>
      </c>
      <c r="H317" s="33" t="s">
        <v>764</v>
      </c>
      <c r="I317" s="33" t="s">
        <v>765</v>
      </c>
      <c r="J317" s="33" t="s">
        <v>766</v>
      </c>
      <c r="K317">
        <v>0.22036</v>
      </c>
      <c r="L317">
        <v>99.01169</v>
      </c>
      <c r="M317">
        <v>2.19326</v>
      </c>
    </row>
    <row r="318" spans="1:13" ht="12">
      <c r="A318" s="123" t="s">
        <v>984</v>
      </c>
      <c r="B318" s="33" t="s">
        <v>767</v>
      </c>
      <c r="C318" s="33" t="s">
        <v>768</v>
      </c>
      <c r="D318" s="41" t="s">
        <v>768</v>
      </c>
      <c r="E318" s="33" t="s">
        <v>767</v>
      </c>
      <c r="F318" s="33" t="s">
        <v>769</v>
      </c>
      <c r="G318" s="33" t="s">
        <v>770</v>
      </c>
      <c r="H318" s="33" t="s">
        <v>771</v>
      </c>
      <c r="I318" s="33" t="s">
        <v>772</v>
      </c>
      <c r="J318" s="33" t="s">
        <v>773</v>
      </c>
      <c r="K318">
        <v>0.06149520000000001</v>
      </c>
      <c r="L318">
        <v>230.00979</v>
      </c>
      <c r="M318">
        <v>2.08171</v>
      </c>
    </row>
    <row r="319" spans="1:13" ht="12">
      <c r="A319" s="123" t="s">
        <v>985</v>
      </c>
      <c r="B319" s="33" t="s">
        <v>978</v>
      </c>
      <c r="C319" s="33" t="s">
        <v>774</v>
      </c>
      <c r="D319" s="41" t="s">
        <v>775</v>
      </c>
      <c r="E319" s="33" t="s">
        <v>776</v>
      </c>
      <c r="F319" s="33" t="s">
        <v>777</v>
      </c>
      <c r="G319" s="33" t="s">
        <v>778</v>
      </c>
      <c r="H319" s="33" t="s">
        <v>525</v>
      </c>
      <c r="I319" s="33" t="s">
        <v>526</v>
      </c>
      <c r="J319" s="33" t="s">
        <v>527</v>
      </c>
      <c r="K319">
        <v>0.0198345</v>
      </c>
      <c r="L319">
        <v>472.00482</v>
      </c>
      <c r="M319">
        <v>2.01312</v>
      </c>
    </row>
    <row r="320" spans="1:13" ht="12">
      <c r="A320" s="123" t="s">
        <v>857</v>
      </c>
      <c r="B320" s="33" t="s">
        <v>979</v>
      </c>
      <c r="C320" s="33" t="s">
        <v>528</v>
      </c>
      <c r="D320" s="41" t="s">
        <v>529</v>
      </c>
      <c r="E320" s="33" t="s">
        <v>529</v>
      </c>
      <c r="F320" s="33" t="s">
        <v>530</v>
      </c>
      <c r="G320" s="33" t="s">
        <v>531</v>
      </c>
      <c r="H320" s="33" t="s">
        <v>532</v>
      </c>
      <c r="I320" s="33" t="s">
        <v>533</v>
      </c>
      <c r="J320" s="33" t="s">
        <v>534</v>
      </c>
      <c r="K320">
        <v>0.007875</v>
      </c>
      <c r="L320">
        <v>1000</v>
      </c>
      <c r="M320">
        <v>1.92641</v>
      </c>
    </row>
    <row r="321" spans="1:13" ht="12">
      <c r="A321" s="120" t="s">
        <v>860</v>
      </c>
      <c r="B321" s="33" t="s">
        <v>953</v>
      </c>
      <c r="C321" s="33" t="s">
        <v>953</v>
      </c>
      <c r="D321" s="41" t="s">
        <v>953</v>
      </c>
      <c r="E321" s="33" t="s">
        <v>953</v>
      </c>
      <c r="F321" s="33" t="s">
        <v>954</v>
      </c>
      <c r="G321" s="33" t="s">
        <v>955</v>
      </c>
      <c r="H321" s="33" t="s">
        <v>956</v>
      </c>
      <c r="I321" s="33"/>
      <c r="J321" s="33"/>
      <c r="K321">
        <v>6.61605</v>
      </c>
      <c r="L321">
        <v>29.12569</v>
      </c>
      <c r="M321">
        <v>1.81518</v>
      </c>
    </row>
    <row r="322" spans="1:13" ht="12">
      <c r="A322" s="120" t="s">
        <v>859</v>
      </c>
      <c r="B322" s="33" t="s">
        <v>980</v>
      </c>
      <c r="C322" s="33" t="s">
        <v>980</v>
      </c>
      <c r="D322" s="41" t="s">
        <v>764</v>
      </c>
      <c r="E322" s="33" t="s">
        <v>764</v>
      </c>
      <c r="F322" s="33" t="s">
        <v>535</v>
      </c>
      <c r="G322" s="33" t="s">
        <v>536</v>
      </c>
      <c r="H322" s="33"/>
      <c r="I322" s="33"/>
      <c r="J322" s="33"/>
      <c r="K322">
        <v>1.4600775</v>
      </c>
      <c r="L322">
        <v>110.01372</v>
      </c>
      <c r="M322">
        <v>1.64879</v>
      </c>
    </row>
    <row r="323" spans="1:13" ht="12">
      <c r="A323" s="120" t="s">
        <v>652</v>
      </c>
      <c r="B323" s="33"/>
      <c r="C323" s="125" t="s">
        <v>586</v>
      </c>
      <c r="D323" s="126" t="s">
        <v>586</v>
      </c>
      <c r="E323" s="33"/>
      <c r="F323" s="33"/>
      <c r="G323" s="33"/>
      <c r="H323" s="33"/>
      <c r="I323" s="33"/>
      <c r="J323" s="33"/>
      <c r="K323">
        <v>0.0046559999999999995</v>
      </c>
      <c r="L323">
        <v>641.63</v>
      </c>
      <c r="M323">
        <v>2.09103</v>
      </c>
    </row>
    <row r="324" spans="1:13" ht="12">
      <c r="A324" s="120" t="s">
        <v>653</v>
      </c>
      <c r="B324" s="33"/>
      <c r="C324" s="125" t="s">
        <v>587</v>
      </c>
      <c r="D324" s="127" t="s">
        <v>587</v>
      </c>
      <c r="E324" s="33"/>
      <c r="F324" s="33"/>
      <c r="G324" s="33"/>
      <c r="H324" s="33"/>
      <c r="I324" s="33"/>
      <c r="J324" s="33"/>
      <c r="K324">
        <v>0.0037191945</v>
      </c>
      <c r="L324">
        <v>759</v>
      </c>
      <c r="M324">
        <v>2.13155</v>
      </c>
    </row>
    <row r="325" spans="1:13" ht="12">
      <c r="A325" s="120" t="s">
        <v>899</v>
      </c>
      <c r="B325" s="33" t="s">
        <v>544</v>
      </c>
      <c r="C325" s="33" t="s">
        <v>542</v>
      </c>
      <c r="D325" s="41" t="s">
        <v>542</v>
      </c>
      <c r="E325" s="33" t="s">
        <v>543</v>
      </c>
      <c r="F325" s="33" t="s">
        <v>545</v>
      </c>
      <c r="G325" s="33" t="s">
        <v>546</v>
      </c>
      <c r="H325" s="33" t="s">
        <v>547</v>
      </c>
      <c r="I325" s="33" t="s">
        <v>548</v>
      </c>
      <c r="J325" s="33" t="s">
        <v>549</v>
      </c>
      <c r="K325">
        <v>1065.4264039999998</v>
      </c>
      <c r="L325">
        <v>0.8983</v>
      </c>
      <c r="M325" s="143">
        <v>1.009</v>
      </c>
    </row>
    <row r="326" spans="1:13" ht="12">
      <c r="A326" s="120" t="s">
        <v>905</v>
      </c>
      <c r="B326" s="33" t="s">
        <v>537</v>
      </c>
      <c r="C326" s="33" t="s">
        <v>537</v>
      </c>
      <c r="D326" s="41" t="s">
        <v>537</v>
      </c>
      <c r="E326" s="33" t="s">
        <v>538</v>
      </c>
      <c r="F326" s="33" t="s">
        <v>539</v>
      </c>
      <c r="G326" s="33" t="s">
        <v>540</v>
      </c>
      <c r="H326" s="33" t="s">
        <v>541</v>
      </c>
      <c r="I326" s="33" t="s">
        <v>542</v>
      </c>
      <c r="J326" s="33" t="s">
        <v>543</v>
      </c>
      <c r="K326">
        <v>334.56027400000005</v>
      </c>
      <c r="L326">
        <v>0.7985</v>
      </c>
      <c r="M326" s="143">
        <v>0.8767</v>
      </c>
    </row>
    <row r="327" spans="1:13" ht="12">
      <c r="A327" s="120" t="s">
        <v>900</v>
      </c>
      <c r="B327" s="33" t="s">
        <v>550</v>
      </c>
      <c r="C327" s="33" t="s">
        <v>551</v>
      </c>
      <c r="D327" s="41" t="s">
        <v>552</v>
      </c>
      <c r="E327" s="33" t="s">
        <v>957</v>
      </c>
      <c r="F327" s="33" t="s">
        <v>553</v>
      </c>
      <c r="G327" s="33" t="s">
        <v>554</v>
      </c>
      <c r="H327" s="33" t="s">
        <v>555</v>
      </c>
      <c r="I327" s="33" t="s">
        <v>556</v>
      </c>
      <c r="J327" s="33" t="s">
        <v>557</v>
      </c>
      <c r="K327">
        <v>207.21981000000002</v>
      </c>
      <c r="L327">
        <v>1.8997</v>
      </c>
      <c r="M327" s="143">
        <v>1.0671</v>
      </c>
    </row>
    <row r="328" spans="1:13" ht="12">
      <c r="A328" s="120" t="s">
        <v>901</v>
      </c>
      <c r="B328" s="33" t="s">
        <v>958</v>
      </c>
      <c r="C328" s="33" t="s">
        <v>558</v>
      </c>
      <c r="D328" s="41" t="s">
        <v>959</v>
      </c>
      <c r="E328" s="33" t="s">
        <v>959</v>
      </c>
      <c r="F328" s="33" t="s">
        <v>559</v>
      </c>
      <c r="G328" s="33" t="s">
        <v>560</v>
      </c>
      <c r="H328" s="33" t="s">
        <v>561</v>
      </c>
      <c r="I328" s="33" t="s">
        <v>562</v>
      </c>
      <c r="J328" s="33" t="s">
        <v>563</v>
      </c>
      <c r="K328">
        <v>156.32022</v>
      </c>
      <c r="L328">
        <v>4.9999</v>
      </c>
      <c r="M328" s="143">
        <v>0.877</v>
      </c>
    </row>
    <row r="329" spans="1:13" ht="12">
      <c r="A329" s="120" t="s">
        <v>855</v>
      </c>
      <c r="B329" s="33" t="s">
        <v>564</v>
      </c>
      <c r="C329" s="33" t="s">
        <v>565</v>
      </c>
      <c r="D329" s="41" t="s">
        <v>566</v>
      </c>
      <c r="E329" s="33" t="s">
        <v>566</v>
      </c>
      <c r="F329" s="33" t="s">
        <v>566</v>
      </c>
      <c r="G329" s="33" t="s">
        <v>567</v>
      </c>
      <c r="H329" s="33" t="s">
        <v>567</v>
      </c>
      <c r="I329" s="33" t="s">
        <v>562</v>
      </c>
      <c r="J329" s="33" t="s">
        <v>563</v>
      </c>
      <c r="K329">
        <v>219.04502399999998</v>
      </c>
      <c r="L329">
        <v>3.6004</v>
      </c>
      <c r="M329" s="143">
        <v>0.6213</v>
      </c>
    </row>
    <row r="330" spans="1:13" ht="12">
      <c r="A330" s="120" t="s">
        <v>853</v>
      </c>
      <c r="B330" s="33" t="s">
        <v>568</v>
      </c>
      <c r="C330" s="33" t="s">
        <v>569</v>
      </c>
      <c r="D330" s="41" t="s">
        <v>960</v>
      </c>
      <c r="E330" s="33" t="s">
        <v>960</v>
      </c>
      <c r="F330" s="33" t="s">
        <v>960</v>
      </c>
      <c r="G330" s="33" t="s">
        <v>960</v>
      </c>
      <c r="H330" s="33" t="s">
        <v>570</v>
      </c>
      <c r="I330" s="33" t="s">
        <v>571</v>
      </c>
      <c r="J330" s="33" t="s">
        <v>572</v>
      </c>
      <c r="K330">
        <v>151.221999</v>
      </c>
      <c r="L330">
        <v>8</v>
      </c>
      <c r="M330" s="143">
        <v>0.4856</v>
      </c>
    </row>
    <row r="331" spans="1:13" ht="12">
      <c r="A331" s="120" t="s">
        <v>852</v>
      </c>
      <c r="B331" s="33" t="s">
        <v>575</v>
      </c>
      <c r="C331" s="33" t="s">
        <v>569</v>
      </c>
      <c r="D331" s="41" t="s">
        <v>960</v>
      </c>
      <c r="E331" s="33" t="s">
        <v>960</v>
      </c>
      <c r="F331" s="33" t="s">
        <v>960</v>
      </c>
      <c r="G331" s="33" t="s">
        <v>569</v>
      </c>
      <c r="H331" s="33" t="s">
        <v>960</v>
      </c>
      <c r="I331" s="33" t="s">
        <v>576</v>
      </c>
      <c r="J331" s="33" t="s">
        <v>570</v>
      </c>
      <c r="K331">
        <v>98.0353</v>
      </c>
      <c r="L331">
        <v>5.3999</v>
      </c>
      <c r="M331" s="143">
        <v>0.5705</v>
      </c>
    </row>
    <row r="332" spans="1:13" ht="12">
      <c r="A332" s="120" t="s">
        <v>854</v>
      </c>
      <c r="B332" s="33" t="s">
        <v>569</v>
      </c>
      <c r="C332" s="33" t="s">
        <v>960</v>
      </c>
      <c r="D332" s="41" t="s">
        <v>960</v>
      </c>
      <c r="E332" s="33" t="s">
        <v>960</v>
      </c>
      <c r="F332" s="33" t="s">
        <v>569</v>
      </c>
      <c r="G332" s="33" t="s">
        <v>570</v>
      </c>
      <c r="H332" s="33" t="s">
        <v>570</v>
      </c>
      <c r="I332" s="33" t="s">
        <v>573</v>
      </c>
      <c r="J332" s="33" t="s">
        <v>574</v>
      </c>
      <c r="K332">
        <v>134.37570000000002</v>
      </c>
      <c r="L332">
        <v>6.4001</v>
      </c>
      <c r="M332" s="143">
        <v>0.5123</v>
      </c>
    </row>
    <row r="333" spans="1:13" ht="12">
      <c r="A333" s="120" t="s">
        <v>907</v>
      </c>
      <c r="B333" s="33" t="s">
        <v>961</v>
      </c>
      <c r="C333" s="33" t="s">
        <v>577</v>
      </c>
      <c r="D333" s="41" t="s">
        <v>577</v>
      </c>
      <c r="E333" s="33" t="s">
        <v>577</v>
      </c>
      <c r="F333" s="33"/>
      <c r="G333" s="33"/>
      <c r="H333" s="33"/>
      <c r="I333" s="33"/>
      <c r="J333" s="33"/>
      <c r="K333">
        <v>4.52014</v>
      </c>
      <c r="L333">
        <v>69.95268</v>
      </c>
      <c r="M333">
        <v>1.66063</v>
      </c>
    </row>
    <row r="334" spans="1:13" ht="12">
      <c r="A334" s="120" t="s">
        <v>908</v>
      </c>
      <c r="B334" s="33" t="s">
        <v>962</v>
      </c>
      <c r="C334" s="33" t="s">
        <v>578</v>
      </c>
      <c r="D334" s="41" t="s">
        <v>578</v>
      </c>
      <c r="E334" s="33" t="s">
        <v>578</v>
      </c>
      <c r="F334" s="33"/>
      <c r="G334" s="33"/>
      <c r="H334" s="33"/>
      <c r="I334" s="33"/>
      <c r="J334" s="33"/>
      <c r="K334">
        <v>0.20026</v>
      </c>
      <c r="L334">
        <v>359.99318</v>
      </c>
      <c r="M334">
        <v>1.70038</v>
      </c>
    </row>
    <row r="335" spans="1:10" ht="12">
      <c r="A335" s="117" t="s">
        <v>646</v>
      </c>
      <c r="B335" s="33"/>
      <c r="C335" s="33"/>
      <c r="D335" s="33"/>
      <c r="E335" s="33"/>
      <c r="F335" s="33"/>
      <c r="G335" s="33"/>
      <c r="H335" s="33"/>
      <c r="I335" s="33"/>
      <c r="J335" s="33"/>
    </row>
    <row r="336" spans="1:2" ht="12">
      <c r="A336" s="120" t="s">
        <v>946</v>
      </c>
      <c r="B336" s="41">
        <v>2</v>
      </c>
    </row>
    <row r="337" spans="1:2" ht="12">
      <c r="A337" s="120" t="s">
        <v>947</v>
      </c>
      <c r="B337" s="41">
        <v>3</v>
      </c>
    </row>
    <row r="338" spans="1:2" ht="12">
      <c r="A338" s="120" t="s">
        <v>992</v>
      </c>
      <c r="B338" s="41">
        <v>4</v>
      </c>
    </row>
    <row r="339" spans="1:2" ht="12">
      <c r="A339" s="120" t="s">
        <v>645</v>
      </c>
      <c r="B339" s="41">
        <v>4</v>
      </c>
    </row>
    <row r="340" spans="1:2" ht="12">
      <c r="A340" s="120" t="s">
        <v>996</v>
      </c>
      <c r="B340" s="41">
        <v>6</v>
      </c>
    </row>
    <row r="341" spans="1:2" ht="12">
      <c r="A341" s="120" t="s">
        <v>993</v>
      </c>
      <c r="B341" s="41">
        <v>7</v>
      </c>
    </row>
    <row r="342" spans="1:2" ht="12">
      <c r="A342" s="120" t="s">
        <v>997</v>
      </c>
      <c r="B342" s="41">
        <v>8</v>
      </c>
    </row>
    <row r="343" spans="1:2" ht="12">
      <c r="A343" s="120" t="s">
        <v>994</v>
      </c>
      <c r="B343" s="41">
        <v>9</v>
      </c>
    </row>
    <row r="344" spans="1:2" ht="12">
      <c r="A344" s="120" t="s">
        <v>998</v>
      </c>
      <c r="B344" s="41">
        <v>10</v>
      </c>
    </row>
    <row r="345" ht="12">
      <c r="A345" s="120"/>
    </row>
    <row r="346" spans="1:2" ht="12">
      <c r="A346" s="120" t="s">
        <v>946</v>
      </c>
      <c r="B346" s="41">
        <v>2</v>
      </c>
    </row>
    <row r="347" spans="1:2" ht="12">
      <c r="A347" s="120" t="s">
        <v>947</v>
      </c>
      <c r="B347" s="41">
        <v>3</v>
      </c>
    </row>
    <row r="348" spans="1:2" ht="12">
      <c r="A348" s="120" t="s">
        <v>645</v>
      </c>
      <c r="B348" s="41">
        <v>4</v>
      </c>
    </row>
    <row r="349" spans="1:2" ht="12">
      <c r="A349" s="120" t="s">
        <v>858</v>
      </c>
      <c r="B349" s="41">
        <v>4</v>
      </c>
    </row>
    <row r="350" spans="1:2" ht="12">
      <c r="A350" s="120" t="s">
        <v>742</v>
      </c>
      <c r="B350" s="41">
        <v>5</v>
      </c>
    </row>
    <row r="351" spans="1:2" ht="12">
      <c r="A351" s="120" t="s">
        <v>743</v>
      </c>
      <c r="B351" s="41">
        <v>6</v>
      </c>
    </row>
    <row r="352" spans="1:2" ht="12">
      <c r="A352" s="120" t="s">
        <v>744</v>
      </c>
      <c r="B352" s="41">
        <v>7</v>
      </c>
    </row>
    <row r="353" spans="1:2" ht="12">
      <c r="A353" s="120" t="s">
        <v>745</v>
      </c>
      <c r="B353" s="41">
        <v>8</v>
      </c>
    </row>
    <row r="354" spans="1:2" ht="12">
      <c r="A354" s="120" t="s">
        <v>746</v>
      </c>
      <c r="B354" s="41">
        <v>9</v>
      </c>
    </row>
    <row r="355" spans="1:2" ht="12">
      <c r="A355" s="120" t="s">
        <v>747</v>
      </c>
      <c r="B355" s="41">
        <v>10</v>
      </c>
    </row>
    <row r="356" ht="12">
      <c r="A356" s="120"/>
    </row>
    <row r="357" spans="1:2" ht="12">
      <c r="A357" s="120"/>
      <c r="B357" s="41" t="s">
        <v>579</v>
      </c>
    </row>
    <row r="360" spans="1:21" ht="12">
      <c r="A360" s="128" t="s">
        <v>786</v>
      </c>
      <c r="B360" s="128"/>
      <c r="C360" s="129">
        <v>1</v>
      </c>
      <c r="D360" s="129">
        <v>2</v>
      </c>
      <c r="E360" s="129">
        <v>3</v>
      </c>
      <c r="F360" s="129">
        <v>4</v>
      </c>
      <c r="G360" s="130" t="s">
        <v>787</v>
      </c>
      <c r="H360" s="131" t="s">
        <v>788</v>
      </c>
      <c r="I360" s="131" t="s">
        <v>789</v>
      </c>
      <c r="J360" s="131" t="s">
        <v>790</v>
      </c>
      <c r="L360" s="128" t="s">
        <v>791</v>
      </c>
      <c r="M360" s="128"/>
      <c r="N360" s="129">
        <v>1</v>
      </c>
      <c r="O360" s="129">
        <v>2</v>
      </c>
      <c r="P360" s="129">
        <v>3</v>
      </c>
      <c r="Q360" s="129">
        <v>4</v>
      </c>
      <c r="R360" s="130" t="s">
        <v>787</v>
      </c>
      <c r="S360" s="131" t="s">
        <v>788</v>
      </c>
      <c r="T360" s="131" t="s">
        <v>789</v>
      </c>
      <c r="U360" s="131" t="s">
        <v>790</v>
      </c>
    </row>
    <row r="361" spans="1:21" ht="12">
      <c r="A361" s="132" t="s">
        <v>792</v>
      </c>
      <c r="B361" s="133">
        <v>1</v>
      </c>
      <c r="C361" s="134" t="str">
        <f>$A$5</f>
        <v>E</v>
      </c>
      <c r="D361" s="134" t="str">
        <f>$A$6</f>
        <v>Y</v>
      </c>
      <c r="E361" s="134" t="str">
        <f>$A$7</f>
        <v>R</v>
      </c>
      <c r="F361" s="134" t="str">
        <f>$A$8</f>
        <v>T</v>
      </c>
      <c r="G361" s="134" t="str">
        <f>$A$5&amp;$A$5</f>
        <v>EE</v>
      </c>
      <c r="H361" s="134" t="str">
        <f>$A$6&amp;$A$6</f>
        <v>YY</v>
      </c>
      <c r="I361" s="134" t="str">
        <f>$A$7&amp;$A$7</f>
        <v>RR</v>
      </c>
      <c r="J361" s="134" t="str">
        <f>$A$8&amp;$A$8</f>
        <v>TT</v>
      </c>
      <c r="L361" s="132" t="s">
        <v>792</v>
      </c>
      <c r="M361" s="133">
        <v>1</v>
      </c>
      <c r="N361" s="134" t="str">
        <f>$A$7</f>
        <v>R</v>
      </c>
      <c r="O361" s="134" t="str">
        <f>$A$6</f>
        <v>Y</v>
      </c>
      <c r="P361" s="134" t="str">
        <f>$A$5</f>
        <v>E</v>
      </c>
      <c r="Q361" s="134" t="str">
        <f>$A$8</f>
        <v>T</v>
      </c>
      <c r="R361" s="134" t="str">
        <f>$A$7&amp;$A$7</f>
        <v>RR</v>
      </c>
      <c r="S361" s="134" t="str">
        <f>$A$6&amp;$A$6</f>
        <v>YY</v>
      </c>
      <c r="T361" s="134" t="str">
        <f>$A$5&amp;$A$5</f>
        <v>EE</v>
      </c>
      <c r="U361" s="134" t="str">
        <f>$A$8&amp;$A$8</f>
        <v>TT</v>
      </c>
    </row>
    <row r="362" spans="1:21" ht="12">
      <c r="A362" s="132" t="s">
        <v>792</v>
      </c>
      <c r="B362" s="133">
        <v>2</v>
      </c>
      <c r="C362" s="134" t="str">
        <f>$A$6</f>
        <v>Y</v>
      </c>
      <c r="D362" s="134" t="str">
        <f>$A$7</f>
        <v>R</v>
      </c>
      <c r="E362" s="134" t="str">
        <f>$A$8</f>
        <v>T</v>
      </c>
      <c r="F362" s="134" t="str">
        <f>$A$5</f>
        <v>E</v>
      </c>
      <c r="G362" s="134" t="str">
        <f>$A$6&amp;$A$6</f>
        <v>YY</v>
      </c>
      <c r="H362" s="134" t="str">
        <f>$A$7&amp;$A$7</f>
        <v>RR</v>
      </c>
      <c r="I362" s="134" t="str">
        <f>$A$8&amp;$A$8</f>
        <v>TT</v>
      </c>
      <c r="J362" s="134" t="str">
        <f>$A$5&amp;$A$5</f>
        <v>EE</v>
      </c>
      <c r="L362" s="132" t="s">
        <v>792</v>
      </c>
      <c r="M362" s="133">
        <v>2</v>
      </c>
      <c r="N362" s="134" t="str">
        <f>$A$5</f>
        <v>E</v>
      </c>
      <c r="O362" s="134" t="str">
        <f>$A$7</f>
        <v>R</v>
      </c>
      <c r="P362" s="134" t="str">
        <f>$A$6</f>
        <v>Y</v>
      </c>
      <c r="Q362" s="134" t="str">
        <f>$A$8</f>
        <v>T</v>
      </c>
      <c r="R362" s="134" t="str">
        <f>$A$5&amp;$A$5</f>
        <v>EE</v>
      </c>
      <c r="S362" s="134" t="str">
        <f>$A$7&amp;$A$7</f>
        <v>RR</v>
      </c>
      <c r="T362" s="134" t="str">
        <f>$A$6&amp;$A$6</f>
        <v>YY</v>
      </c>
      <c r="U362" s="134" t="str">
        <f>$A$8&amp;$A$8</f>
        <v>TT</v>
      </c>
    </row>
    <row r="363" spans="1:21" ht="12">
      <c r="A363" s="132" t="s">
        <v>792</v>
      </c>
      <c r="B363" s="133">
        <v>3</v>
      </c>
      <c r="C363" s="134" t="str">
        <f>$A$7</f>
        <v>R</v>
      </c>
      <c r="D363" s="134" t="str">
        <f>$A$8</f>
        <v>T</v>
      </c>
      <c r="E363" s="134" t="str">
        <f>$A$5</f>
        <v>E</v>
      </c>
      <c r="F363" s="134" t="str">
        <f>$A$6</f>
        <v>Y</v>
      </c>
      <c r="G363" s="134" t="str">
        <f>$A$7&amp;$A$7</f>
        <v>RR</v>
      </c>
      <c r="H363" s="134" t="str">
        <f>$A$8&amp;$A$8</f>
        <v>TT</v>
      </c>
      <c r="I363" s="134" t="str">
        <f>$A$5&amp;$A$5</f>
        <v>EE</v>
      </c>
      <c r="J363" s="134" t="str">
        <f>$A$6&amp;$A$6</f>
        <v>YY</v>
      </c>
      <c r="L363" s="132" t="s">
        <v>792</v>
      </c>
      <c r="M363" s="133">
        <v>3</v>
      </c>
      <c r="N363" s="134" t="str">
        <f>$A$8</f>
        <v>T</v>
      </c>
      <c r="O363" s="134" t="str">
        <f>$A$5</f>
        <v>E</v>
      </c>
      <c r="P363" s="134" t="str">
        <f>$A$6</f>
        <v>Y</v>
      </c>
      <c r="Q363" s="134" t="str">
        <f>$A$7</f>
        <v>R</v>
      </c>
      <c r="R363" s="134" t="str">
        <f>$A$8&amp;$A$8</f>
        <v>TT</v>
      </c>
      <c r="S363" s="134" t="str">
        <f>$A$5&amp;$A$5</f>
        <v>EE</v>
      </c>
      <c r="T363" s="134" t="str">
        <f>$A$6&amp;$A$6</f>
        <v>YY</v>
      </c>
      <c r="U363" s="134" t="str">
        <f>$A$7&amp;$A$7</f>
        <v>RR</v>
      </c>
    </row>
    <row r="364" spans="1:21" ht="12">
      <c r="A364" s="132" t="s">
        <v>792</v>
      </c>
      <c r="B364" s="133">
        <v>4</v>
      </c>
      <c r="C364" s="134" t="str">
        <f>$A$8</f>
        <v>T</v>
      </c>
      <c r="D364" s="134" t="str">
        <f>$A$6</f>
        <v>Y</v>
      </c>
      <c r="E364" s="134" t="str">
        <f>$A$7</f>
        <v>R</v>
      </c>
      <c r="F364" s="134" t="str">
        <f>$A$5</f>
        <v>E</v>
      </c>
      <c r="G364" s="134" t="str">
        <f>$A$8&amp;$A$8</f>
        <v>TT</v>
      </c>
      <c r="H364" s="134" t="str">
        <f>$A$6&amp;$A$6</f>
        <v>YY</v>
      </c>
      <c r="I364" s="134" t="str">
        <f>$A$7&amp;$A$7</f>
        <v>RR</v>
      </c>
      <c r="J364" s="134" t="str">
        <f>$A$5&amp;$A$5</f>
        <v>EE</v>
      </c>
      <c r="L364" s="132" t="s">
        <v>792</v>
      </c>
      <c r="M364" s="133">
        <v>4</v>
      </c>
      <c r="N364" s="134" t="str">
        <f>$A$6</f>
        <v>Y</v>
      </c>
      <c r="O364" s="134" t="str">
        <f>$A$8</f>
        <v>T</v>
      </c>
      <c r="P364" s="134" t="str">
        <f>$A$5</f>
        <v>E</v>
      </c>
      <c r="Q364" s="134" t="str">
        <f>$A$7</f>
        <v>R</v>
      </c>
      <c r="R364" s="134" t="str">
        <f>$A$6&amp;$A$6</f>
        <v>YY</v>
      </c>
      <c r="S364" s="134" t="str">
        <f>$A$8&amp;$A$8</f>
        <v>TT</v>
      </c>
      <c r="T364" s="134" t="str">
        <f>$A$5&amp;$A$5</f>
        <v>EE</v>
      </c>
      <c r="U364" s="134" t="str">
        <f>$A$7&amp;$A$7</f>
        <v>RR</v>
      </c>
    </row>
    <row r="365" spans="1:21" ht="12">
      <c r="A365" s="132" t="s">
        <v>792</v>
      </c>
      <c r="B365" s="133">
        <v>5</v>
      </c>
      <c r="C365" s="134" t="str">
        <f>$A$5</f>
        <v>E</v>
      </c>
      <c r="D365" s="134" t="str">
        <f>$A$8</f>
        <v>T</v>
      </c>
      <c r="E365" s="134" t="str">
        <f>$A$6</f>
        <v>Y</v>
      </c>
      <c r="F365" s="134" t="str">
        <f>$A$7</f>
        <v>R</v>
      </c>
      <c r="G365" s="134" t="str">
        <f>$A$5&amp;$A$5</f>
        <v>EE</v>
      </c>
      <c r="H365" s="134" t="str">
        <f>$A$8&amp;$A$8</f>
        <v>TT</v>
      </c>
      <c r="I365" s="134" t="str">
        <f>$A$6&amp;$A$6</f>
        <v>YY</v>
      </c>
      <c r="J365" s="134" t="str">
        <f>$A$7&amp;$A$7</f>
        <v>RR</v>
      </c>
      <c r="L365" s="132" t="s">
        <v>792</v>
      </c>
      <c r="M365" s="133">
        <v>5</v>
      </c>
      <c r="N365" s="134" t="str">
        <f>$A$7</f>
        <v>R</v>
      </c>
      <c r="O365" s="134" t="str">
        <f>$A$8</f>
        <v>T</v>
      </c>
      <c r="P365" s="134" t="str">
        <f>$A$5</f>
        <v>E</v>
      </c>
      <c r="Q365" s="134" t="str">
        <f>$A$6</f>
        <v>Y</v>
      </c>
      <c r="R365" s="134" t="str">
        <f>$A$7&amp;$A$7</f>
        <v>RR</v>
      </c>
      <c r="S365" s="134" t="str">
        <f>$A$8&amp;$A$8</f>
        <v>TT</v>
      </c>
      <c r="T365" s="134" t="str">
        <f>$A$5&amp;$A$5</f>
        <v>EE</v>
      </c>
      <c r="U365" s="134" t="str">
        <f>$A$6&amp;$A$6</f>
        <v>YY</v>
      </c>
    </row>
    <row r="366" spans="1:21" ht="12">
      <c r="A366" s="132" t="s">
        <v>793</v>
      </c>
      <c r="B366" s="133">
        <v>1</v>
      </c>
      <c r="C366" s="134" t="str">
        <f>$A$6</f>
        <v>Y</v>
      </c>
      <c r="D366" s="134" t="str">
        <f>$A$8</f>
        <v>T</v>
      </c>
      <c r="E366" s="134" t="str">
        <f>$A$5</f>
        <v>E</v>
      </c>
      <c r="F366" s="134" t="str">
        <f>$A$7</f>
        <v>R</v>
      </c>
      <c r="G366" s="134" t="str">
        <f>$A$6&amp;$A$6</f>
        <v>YY</v>
      </c>
      <c r="H366" s="134" t="str">
        <f>$A$8&amp;$A$8</f>
        <v>TT</v>
      </c>
      <c r="I366" s="134" t="str">
        <f>$A$5&amp;$A$5</f>
        <v>EE</v>
      </c>
      <c r="J366" s="134" t="str">
        <f>$A$7&amp;$A$7</f>
        <v>RR</v>
      </c>
      <c r="L366" s="132" t="s">
        <v>794</v>
      </c>
      <c r="M366" s="133">
        <v>1</v>
      </c>
      <c r="N366" s="134" t="str">
        <f>$A$6</f>
        <v>Y</v>
      </c>
      <c r="O366" s="134" t="str">
        <f>$A$7</f>
        <v>R</v>
      </c>
      <c r="P366" s="134" t="str">
        <f>$A$5</f>
        <v>E</v>
      </c>
      <c r="Q366" s="134" t="str">
        <f>$A$8</f>
        <v>T</v>
      </c>
      <c r="R366" s="134" t="str">
        <f>$A$6&amp;$A$6</f>
        <v>YY</v>
      </c>
      <c r="S366" s="134" t="str">
        <f>$A$7&amp;$A$7</f>
        <v>RR</v>
      </c>
      <c r="T366" s="134" t="str">
        <f>$A$5&amp;$A$5</f>
        <v>EE</v>
      </c>
      <c r="U366" s="134" t="str">
        <f>$A$8&amp;$A$8</f>
        <v>TT</v>
      </c>
    </row>
    <row r="367" spans="1:21" ht="12">
      <c r="A367" s="132" t="s">
        <v>793</v>
      </c>
      <c r="B367" s="133">
        <v>2</v>
      </c>
      <c r="C367" s="134" t="str">
        <f>$A$8</f>
        <v>T</v>
      </c>
      <c r="D367" s="134" t="str">
        <f>$A$7</f>
        <v>R</v>
      </c>
      <c r="E367" s="134" t="str">
        <f>$A$5</f>
        <v>E</v>
      </c>
      <c r="F367" s="134" t="str">
        <f>$A$6</f>
        <v>Y</v>
      </c>
      <c r="G367" s="134" t="str">
        <f>$A$8&amp;$A$8</f>
        <v>TT</v>
      </c>
      <c r="H367" s="134" t="str">
        <f>$A$7&amp;$A$7</f>
        <v>RR</v>
      </c>
      <c r="I367" s="134" t="str">
        <f>$A$5&amp;$A$5</f>
        <v>EE</v>
      </c>
      <c r="J367" s="134" t="str">
        <f>$A$6&amp;$A$6</f>
        <v>YY</v>
      </c>
      <c r="L367" s="132" t="s">
        <v>794</v>
      </c>
      <c r="M367" s="133">
        <v>2</v>
      </c>
      <c r="N367" s="134" t="str">
        <f>$A$8</f>
        <v>T</v>
      </c>
      <c r="O367" s="134" t="str">
        <f>$A$6</f>
        <v>Y</v>
      </c>
      <c r="P367" s="134" t="str">
        <f>$A$7</f>
        <v>R</v>
      </c>
      <c r="Q367" s="134" t="str">
        <f>$A$5</f>
        <v>E</v>
      </c>
      <c r="R367" s="134" t="str">
        <f>$A$8&amp;$A$8</f>
        <v>TT</v>
      </c>
      <c r="S367" s="134" t="str">
        <f>$A$6&amp;$A$6</f>
        <v>YY</v>
      </c>
      <c r="T367" s="134" t="str">
        <f>$A$7&amp;$A$7</f>
        <v>RR</v>
      </c>
      <c r="U367" s="134" t="str">
        <f>$A$5&amp;$A$5</f>
        <v>EE</v>
      </c>
    </row>
    <row r="368" spans="1:21" ht="12">
      <c r="A368" s="132" t="s">
        <v>793</v>
      </c>
      <c r="B368" s="133">
        <v>3</v>
      </c>
      <c r="C368" s="134" t="str">
        <f>$A$6</f>
        <v>Y</v>
      </c>
      <c r="D368" s="134" t="str">
        <f>$A$7</f>
        <v>R</v>
      </c>
      <c r="E368" s="134" t="str">
        <f>$A$8</f>
        <v>T</v>
      </c>
      <c r="F368" s="134" t="str">
        <f>$A$5</f>
        <v>E</v>
      </c>
      <c r="G368" s="134" t="str">
        <f>$A$6&amp;$A$6</f>
        <v>YY</v>
      </c>
      <c r="H368" s="134" t="str">
        <f>$A$7&amp;$A$7</f>
        <v>RR</v>
      </c>
      <c r="I368" s="134" t="str">
        <f>$A$8&amp;$A$8</f>
        <v>TT</v>
      </c>
      <c r="J368" s="134" t="str">
        <f>$A$5&amp;$A$5</f>
        <v>EE</v>
      </c>
      <c r="L368" s="132" t="s">
        <v>794</v>
      </c>
      <c r="M368" s="133">
        <v>3</v>
      </c>
      <c r="N368" s="134" t="str">
        <f>$A$5</f>
        <v>E</v>
      </c>
      <c r="O368" s="134" t="str">
        <f>$A$7</f>
        <v>R</v>
      </c>
      <c r="P368" s="134" t="str">
        <f>$A$6</f>
        <v>Y</v>
      </c>
      <c r="Q368" s="134" t="str">
        <f>$A$8</f>
        <v>T</v>
      </c>
      <c r="R368" s="134" t="str">
        <f>$A$5&amp;$A$5</f>
        <v>EE</v>
      </c>
      <c r="S368" s="134" t="str">
        <f>$A$7&amp;$A$7</f>
        <v>RR</v>
      </c>
      <c r="T368" s="134" t="str">
        <f>$A$6&amp;$A$6</f>
        <v>YY</v>
      </c>
      <c r="U368" s="134" t="str">
        <f>$A$8&amp;$A$8</f>
        <v>TT</v>
      </c>
    </row>
    <row r="369" spans="1:21" ht="12">
      <c r="A369" s="132" t="s">
        <v>793</v>
      </c>
      <c r="B369" s="133">
        <v>4</v>
      </c>
      <c r="C369" s="134" t="str">
        <f>$A$5</f>
        <v>E</v>
      </c>
      <c r="D369" s="134" t="str">
        <f>$A$8</f>
        <v>T</v>
      </c>
      <c r="E369" s="134" t="str">
        <f>$A$6</f>
        <v>Y</v>
      </c>
      <c r="F369" s="134" t="str">
        <f>$A$7</f>
        <v>R</v>
      </c>
      <c r="G369" s="134" t="str">
        <f>$A$5&amp;$A$5</f>
        <v>EE</v>
      </c>
      <c r="H369" s="134" t="str">
        <f>$A$8&amp;$A$8</f>
        <v>TT</v>
      </c>
      <c r="I369" s="134" t="str">
        <f>$A$6&amp;$A$6</f>
        <v>YY</v>
      </c>
      <c r="J369" s="134" t="str">
        <f>$A$7&amp;$A$7</f>
        <v>RR</v>
      </c>
      <c r="L369" s="132" t="s">
        <v>794</v>
      </c>
      <c r="M369" s="133">
        <v>4</v>
      </c>
      <c r="N369" s="134" t="str">
        <f>$A$7</f>
        <v>R</v>
      </c>
      <c r="O369" s="134" t="str">
        <f>$A$5</f>
        <v>E</v>
      </c>
      <c r="P369" s="134" t="str">
        <f>$A$6</f>
        <v>Y</v>
      </c>
      <c r="Q369" s="134" t="str">
        <f>$A$8</f>
        <v>T</v>
      </c>
      <c r="R369" s="134" t="str">
        <f>$A$7&amp;$A$7</f>
        <v>RR</v>
      </c>
      <c r="S369" s="134" t="str">
        <f>$A$5&amp;$A$5</f>
        <v>EE</v>
      </c>
      <c r="T369" s="134" t="str">
        <f>$A$6&amp;$A$6</f>
        <v>YY</v>
      </c>
      <c r="U369" s="134" t="str">
        <f>$A$8&amp;$A$8</f>
        <v>TT</v>
      </c>
    </row>
    <row r="370" spans="1:21" ht="12">
      <c r="A370" s="132" t="s">
        <v>793</v>
      </c>
      <c r="B370" s="133">
        <v>5</v>
      </c>
      <c r="C370" s="134" t="str">
        <f>$A$8</f>
        <v>T</v>
      </c>
      <c r="D370" s="134" t="str">
        <f>$A$7</f>
        <v>R</v>
      </c>
      <c r="E370" s="134" t="str">
        <f>$A$6</f>
        <v>Y</v>
      </c>
      <c r="F370" s="134" t="str">
        <f>$A$5</f>
        <v>E</v>
      </c>
      <c r="G370" s="134" t="str">
        <f>$A$8&amp;$A$8</f>
        <v>TT</v>
      </c>
      <c r="H370" s="134" t="str">
        <f>$A$7&amp;$A$7</f>
        <v>RR</v>
      </c>
      <c r="I370" s="134" t="str">
        <f>$A$6&amp;$A$6</f>
        <v>YY</v>
      </c>
      <c r="J370" s="134" t="str">
        <f>$A$5&amp;$A$5</f>
        <v>EE</v>
      </c>
      <c r="L370" s="132" t="s">
        <v>794</v>
      </c>
      <c r="M370" s="133">
        <v>5</v>
      </c>
      <c r="N370" s="134" t="str">
        <f>$A$6</f>
        <v>Y</v>
      </c>
      <c r="O370" s="134" t="str">
        <f>$A$8</f>
        <v>T</v>
      </c>
      <c r="P370" s="134" t="str">
        <f>$A$5</f>
        <v>E</v>
      </c>
      <c r="Q370" s="134" t="str">
        <f>$A$7</f>
        <v>R</v>
      </c>
      <c r="R370" s="134" t="str">
        <f>$A$6&amp;$A$6</f>
        <v>YY</v>
      </c>
      <c r="S370" s="134" t="str">
        <f>$A$8&amp;$A$8</f>
        <v>TT</v>
      </c>
      <c r="T370" s="134" t="str">
        <f>$A$5&amp;$A$5</f>
        <v>EE</v>
      </c>
      <c r="U370" s="134" t="str">
        <f>$A$7&amp;$A$7</f>
        <v>RR</v>
      </c>
    </row>
    <row r="371" spans="1:21" ht="12">
      <c r="A371" s="132" t="s">
        <v>795</v>
      </c>
      <c r="B371" s="133">
        <v>1</v>
      </c>
      <c r="C371" s="134" t="str">
        <f>$A$5</f>
        <v>E</v>
      </c>
      <c r="D371" s="134" t="str">
        <f>$A$7</f>
        <v>R</v>
      </c>
      <c r="E371" s="134" t="str">
        <f>$A$8</f>
        <v>T</v>
      </c>
      <c r="F371" s="134" t="str">
        <f>$A$6</f>
        <v>Y</v>
      </c>
      <c r="G371" s="134" t="str">
        <f>$A$5&amp;$A$5</f>
        <v>EE</v>
      </c>
      <c r="H371" s="134" t="str">
        <f>$A$7&amp;$A$7</f>
        <v>RR</v>
      </c>
      <c r="I371" s="134" t="str">
        <f>$A$8&amp;$A$8</f>
        <v>TT</v>
      </c>
      <c r="J371" s="134" t="str">
        <f>$A$6&amp;$A$6</f>
        <v>YY</v>
      </c>
      <c r="L371" s="132" t="s">
        <v>795</v>
      </c>
      <c r="M371" s="133">
        <v>1</v>
      </c>
      <c r="N371" s="134" t="str">
        <f>$A$6</f>
        <v>Y</v>
      </c>
      <c r="O371" s="134" t="str">
        <f>$A$5</f>
        <v>E</v>
      </c>
      <c r="P371" s="134" t="str">
        <f>$A$7</f>
        <v>R</v>
      </c>
      <c r="Q371" s="134" t="str">
        <f>$A$8</f>
        <v>T</v>
      </c>
      <c r="R371" s="134" t="str">
        <f>$A$6&amp;$A$6</f>
        <v>YY</v>
      </c>
      <c r="S371" s="134" t="str">
        <f>$A$5&amp;$A$5</f>
        <v>EE</v>
      </c>
      <c r="T371" s="134" t="str">
        <f>$A$7&amp;$A$7</f>
        <v>RR</v>
      </c>
      <c r="U371" s="134" t="str">
        <f>$A$8&amp;$A$8</f>
        <v>TT</v>
      </c>
    </row>
    <row r="372" spans="1:21" ht="12">
      <c r="A372" s="132" t="s">
        <v>795</v>
      </c>
      <c r="B372" s="133">
        <v>2</v>
      </c>
      <c r="C372" s="134" t="str">
        <f>$A$6</f>
        <v>Y</v>
      </c>
      <c r="D372" s="134" t="str">
        <f>$A$8</f>
        <v>T</v>
      </c>
      <c r="E372" s="134" t="str">
        <f>$A$7</f>
        <v>R</v>
      </c>
      <c r="F372" s="134" t="str">
        <f>$A$5</f>
        <v>E</v>
      </c>
      <c r="G372" s="134" t="str">
        <f>$A$6&amp;$A$6</f>
        <v>YY</v>
      </c>
      <c r="H372" s="134" t="str">
        <f>$A$8&amp;$A$8</f>
        <v>TT</v>
      </c>
      <c r="I372" s="134" t="str">
        <f>$A$7&amp;$A$7</f>
        <v>RR</v>
      </c>
      <c r="J372" s="134" t="str">
        <f>$A$5&amp;$A$5</f>
        <v>EE</v>
      </c>
      <c r="L372" s="132" t="s">
        <v>795</v>
      </c>
      <c r="M372" s="133">
        <v>2</v>
      </c>
      <c r="N372" s="134" t="str">
        <f>$A$8</f>
        <v>T</v>
      </c>
      <c r="O372" s="134" t="str">
        <f>$A$5</f>
        <v>E</v>
      </c>
      <c r="P372" s="134" t="str">
        <f>$A$6</f>
        <v>Y</v>
      </c>
      <c r="Q372" s="134" t="str">
        <f>$A$7</f>
        <v>R</v>
      </c>
      <c r="R372" s="134" t="str">
        <f>$A$8&amp;$A$8</f>
        <v>TT</v>
      </c>
      <c r="S372" s="134" t="str">
        <f>$A$5&amp;$A$5</f>
        <v>EE</v>
      </c>
      <c r="T372" s="134" t="str">
        <f>$A$6&amp;$A$6</f>
        <v>YY</v>
      </c>
      <c r="U372" s="134" t="str">
        <f>$A$7&amp;$A$7</f>
        <v>RR</v>
      </c>
    </row>
    <row r="373" spans="1:21" ht="12">
      <c r="A373" s="132" t="s">
        <v>795</v>
      </c>
      <c r="B373" s="133">
        <v>3</v>
      </c>
      <c r="C373" s="134" t="str">
        <f>$A$7</f>
        <v>R</v>
      </c>
      <c r="D373" s="134" t="str">
        <f>$A$6</f>
        <v>Y</v>
      </c>
      <c r="E373" s="134" t="str">
        <f>$A$5</f>
        <v>E</v>
      </c>
      <c r="F373" s="134" t="str">
        <f>$A$8</f>
        <v>T</v>
      </c>
      <c r="G373" s="134" t="str">
        <f>$A$7&amp;$A$7</f>
        <v>RR</v>
      </c>
      <c r="H373" s="134" t="str">
        <f>$A$6&amp;$A$6</f>
        <v>YY</v>
      </c>
      <c r="I373" s="134" t="str">
        <f>$A$5&amp;$A$5</f>
        <v>EE</v>
      </c>
      <c r="J373" s="134" t="str">
        <f>$A$8&amp;$A$8</f>
        <v>TT</v>
      </c>
      <c r="L373" s="132" t="s">
        <v>795</v>
      </c>
      <c r="M373" s="133">
        <v>3</v>
      </c>
      <c r="N373" s="134" t="str">
        <f>$A$7</f>
        <v>R</v>
      </c>
      <c r="O373" s="134" t="str">
        <f>$A$8</f>
        <v>T</v>
      </c>
      <c r="P373" s="134" t="str">
        <f>$A$5</f>
        <v>E</v>
      </c>
      <c r="Q373" s="134" t="str">
        <f>$A$6</f>
        <v>Y</v>
      </c>
      <c r="R373" s="134" t="str">
        <f>$A$7&amp;$A$7</f>
        <v>RR</v>
      </c>
      <c r="S373" s="134" t="str">
        <f>$A$8&amp;$A$8</f>
        <v>TT</v>
      </c>
      <c r="T373" s="134" t="str">
        <f>$A$5&amp;$A$5</f>
        <v>EE</v>
      </c>
      <c r="U373" s="134" t="str">
        <f>$A$6&amp;$A$6</f>
        <v>YY</v>
      </c>
    </row>
    <row r="374" spans="1:21" ht="12">
      <c r="A374" s="132" t="s">
        <v>795</v>
      </c>
      <c r="B374" s="133">
        <v>4</v>
      </c>
      <c r="C374" s="134" t="str">
        <f>$A$8</f>
        <v>T</v>
      </c>
      <c r="D374" s="134" t="str">
        <f>$A$5</f>
        <v>E</v>
      </c>
      <c r="E374" s="134" t="str">
        <f>$A$7</f>
        <v>R</v>
      </c>
      <c r="F374" s="134" t="str">
        <f>$A$6</f>
        <v>Y</v>
      </c>
      <c r="G374" s="134" t="str">
        <f>$A$8&amp;$A$8</f>
        <v>TT</v>
      </c>
      <c r="H374" s="134" t="str">
        <f>$A$5&amp;$A$5</f>
        <v>EE</v>
      </c>
      <c r="I374" s="134" t="str">
        <f>$A$7&amp;$A$7</f>
        <v>RR</v>
      </c>
      <c r="J374" s="134" t="str">
        <f>$A$6&amp;$A$6</f>
        <v>YY</v>
      </c>
      <c r="L374" s="132" t="s">
        <v>795</v>
      </c>
      <c r="M374" s="133">
        <v>4</v>
      </c>
      <c r="N374" s="134" t="str">
        <f>$A$5</f>
        <v>E</v>
      </c>
      <c r="O374" s="134" t="str">
        <f>$A$6</f>
        <v>Y</v>
      </c>
      <c r="P374" s="134" t="str">
        <f>$A$8</f>
        <v>T</v>
      </c>
      <c r="Q374" s="134" t="str">
        <f>$A$7</f>
        <v>R</v>
      </c>
      <c r="R374" s="134" t="str">
        <f>$A$5&amp;$A$5</f>
        <v>EE</v>
      </c>
      <c r="S374" s="134" t="str">
        <f>$A$6&amp;$A$6</f>
        <v>YY</v>
      </c>
      <c r="T374" s="134" t="str">
        <f>$A$8&amp;$A$8</f>
        <v>TT</v>
      </c>
      <c r="U374" s="134" t="str">
        <f>$A$7&amp;$A$7</f>
        <v>RR</v>
      </c>
    </row>
    <row r="375" spans="1:21" ht="12">
      <c r="A375" s="132" t="s">
        <v>795</v>
      </c>
      <c r="B375" s="133">
        <v>5</v>
      </c>
      <c r="C375" s="134" t="str">
        <f>$A$5</f>
        <v>E</v>
      </c>
      <c r="D375" s="134" t="str">
        <f>$A$6</f>
        <v>Y</v>
      </c>
      <c r="E375" s="134" t="str">
        <f>$A$8</f>
        <v>T</v>
      </c>
      <c r="F375" s="134" t="str">
        <f>$A$7</f>
        <v>R</v>
      </c>
      <c r="G375" s="134" t="str">
        <f>$A$5&amp;$A$5</f>
        <v>EE</v>
      </c>
      <c r="H375" s="134" t="str">
        <f>$A$6&amp;$A$6</f>
        <v>YY</v>
      </c>
      <c r="I375" s="134" t="str">
        <f>$A$8&amp;$A$8</f>
        <v>TT</v>
      </c>
      <c r="J375" s="134" t="str">
        <f>$A$7&amp;$A$7</f>
        <v>RR</v>
      </c>
      <c r="L375" s="132" t="s">
        <v>795</v>
      </c>
      <c r="M375" s="133">
        <v>5</v>
      </c>
      <c r="N375" s="134" t="str">
        <f>$A$6</f>
        <v>Y</v>
      </c>
      <c r="O375" s="134" t="str">
        <f>$A$5</f>
        <v>E</v>
      </c>
      <c r="P375" s="134" t="str">
        <f>$A$7</f>
        <v>R</v>
      </c>
      <c r="Q375" s="134" t="str">
        <f>$A$8</f>
        <v>T</v>
      </c>
      <c r="R375" s="134" t="str">
        <f>$A$6&amp;$A$6</f>
        <v>YY</v>
      </c>
      <c r="S375" s="134" t="str">
        <f>$A$5&amp;$A$5</f>
        <v>EE</v>
      </c>
      <c r="T375" s="134" t="str">
        <f>$A$7&amp;$A$7</f>
        <v>RR</v>
      </c>
      <c r="U375" s="134" t="str">
        <f>$A$8&amp;$A$8</f>
        <v>TT</v>
      </c>
    </row>
    <row r="376" spans="1:21" ht="12">
      <c r="A376" s="132" t="s">
        <v>796</v>
      </c>
      <c r="B376" s="133">
        <v>1</v>
      </c>
      <c r="C376" s="134" t="str">
        <f>$A$7</f>
        <v>R</v>
      </c>
      <c r="D376" s="134" t="str">
        <f>$A$5</f>
        <v>E</v>
      </c>
      <c r="E376" s="134" t="str">
        <f>$A$6</f>
        <v>Y</v>
      </c>
      <c r="F376" s="134" t="str">
        <f>$A$8</f>
        <v>T</v>
      </c>
      <c r="G376" s="134" t="str">
        <f>$A$7&amp;$A$7</f>
        <v>RR</v>
      </c>
      <c r="H376" s="134" t="str">
        <f>$A$5&amp;$A$5</f>
        <v>EE</v>
      </c>
      <c r="I376" s="134" t="str">
        <f>$A$6&amp;$A$6</f>
        <v>YY</v>
      </c>
      <c r="J376" s="134" t="str">
        <f>$A$8&amp;$A$8</f>
        <v>TT</v>
      </c>
      <c r="L376" s="132" t="s">
        <v>654</v>
      </c>
      <c r="M376" s="133">
        <v>1</v>
      </c>
      <c r="N376" s="134" t="str">
        <f>$A$6</f>
        <v>Y</v>
      </c>
      <c r="O376" s="134" t="str">
        <f>$A$8</f>
        <v>T</v>
      </c>
      <c r="P376" s="134" t="str">
        <f>$A$7</f>
        <v>R</v>
      </c>
      <c r="Q376" s="134" t="str">
        <f>$A$5</f>
        <v>E</v>
      </c>
      <c r="R376" s="134" t="str">
        <f>$A$6&amp;$A$6</f>
        <v>YY</v>
      </c>
      <c r="S376" s="134" t="str">
        <f>$A$8&amp;$A$8</f>
        <v>TT</v>
      </c>
      <c r="T376" s="134" t="str">
        <f>$A$7&amp;$A$7</f>
        <v>RR</v>
      </c>
      <c r="U376" s="134" t="str">
        <f>$A$5&amp;$A$5</f>
        <v>EE</v>
      </c>
    </row>
    <row r="377" spans="1:21" ht="12">
      <c r="A377" s="132" t="s">
        <v>796</v>
      </c>
      <c r="B377" s="135">
        <v>2</v>
      </c>
      <c r="C377" s="134" t="str">
        <f>$A$8</f>
        <v>T</v>
      </c>
      <c r="D377" s="134" t="str">
        <f>$A$6</f>
        <v>Y</v>
      </c>
      <c r="E377" s="134" t="str">
        <f>$A$5</f>
        <v>E</v>
      </c>
      <c r="F377" s="134" t="str">
        <f>$A$7</f>
        <v>R</v>
      </c>
      <c r="G377" s="134" t="str">
        <f>$A$8&amp;$A$8</f>
        <v>TT</v>
      </c>
      <c r="H377" s="134" t="str">
        <f>$A$6&amp;$A$6</f>
        <v>YY</v>
      </c>
      <c r="I377" s="134" t="str">
        <f>$A$5&amp;$A$5</f>
        <v>EE</v>
      </c>
      <c r="J377" s="134" t="str">
        <f>$A$7&amp;$A$7</f>
        <v>RR</v>
      </c>
      <c r="L377" s="132" t="s">
        <v>655</v>
      </c>
      <c r="M377" s="133">
        <v>2</v>
      </c>
      <c r="N377" s="134" t="str">
        <f>$A$8</f>
        <v>T</v>
      </c>
      <c r="O377" s="134" t="str">
        <f>$A$5</f>
        <v>E</v>
      </c>
      <c r="P377" s="134" t="str">
        <f>$A$7</f>
        <v>R</v>
      </c>
      <c r="Q377" s="134" t="str">
        <f>$A$6</f>
        <v>Y</v>
      </c>
      <c r="R377" s="134" t="str">
        <f>$A$8&amp;$A$8</f>
        <v>TT</v>
      </c>
      <c r="S377" s="134" t="str">
        <f>$A$5&amp;$A$5</f>
        <v>EE</v>
      </c>
      <c r="T377" s="134" t="str">
        <f>$A$7&amp;$A$7</f>
        <v>RR</v>
      </c>
      <c r="U377" s="134" t="str">
        <f>$A$6&amp;$A$6</f>
        <v>YY</v>
      </c>
    </row>
    <row r="378" spans="1:21" ht="12">
      <c r="A378" s="132" t="s">
        <v>796</v>
      </c>
      <c r="B378" s="133">
        <v>3</v>
      </c>
      <c r="C378" s="134" t="str">
        <f>$A$5</f>
        <v>E</v>
      </c>
      <c r="D378" s="134" t="str">
        <f>$A$6</f>
        <v>Y</v>
      </c>
      <c r="E378" s="134" t="str">
        <f>$A$8</f>
        <v>T</v>
      </c>
      <c r="F378" s="134" t="str">
        <f>$A$7</f>
        <v>R</v>
      </c>
      <c r="G378" s="134" t="str">
        <f>$A$5&amp;$A$5</f>
        <v>EE</v>
      </c>
      <c r="H378" s="134" t="str">
        <f>$A$6&amp;$A$6</f>
        <v>YY</v>
      </c>
      <c r="I378" s="134" t="str">
        <f>$A$8&amp;$A$8</f>
        <v>TT</v>
      </c>
      <c r="J378" s="134" t="str">
        <f>$A$7&amp;$A$7</f>
        <v>RR</v>
      </c>
      <c r="L378" s="132" t="s">
        <v>654</v>
      </c>
      <c r="M378" s="133">
        <v>3</v>
      </c>
      <c r="N378" s="134" t="str">
        <f>$A$5</f>
        <v>E</v>
      </c>
      <c r="O378" s="134" t="str">
        <f>$A$8</f>
        <v>T</v>
      </c>
      <c r="P378" s="134" t="str">
        <f>$A$6</f>
        <v>Y</v>
      </c>
      <c r="Q378" s="134" t="str">
        <f>$A$7</f>
        <v>R</v>
      </c>
      <c r="R378" s="134" t="str">
        <f>$A$5&amp;$A$5</f>
        <v>EE</v>
      </c>
      <c r="S378" s="134" t="str">
        <f>$A$8&amp;$A$8</f>
        <v>TT</v>
      </c>
      <c r="T378" s="134" t="str">
        <f>$A$6&amp;$A$6</f>
        <v>YY</v>
      </c>
      <c r="U378" s="134" t="str">
        <f>$A$7&amp;$A$7</f>
        <v>RR</v>
      </c>
    </row>
    <row r="379" spans="1:21" ht="12">
      <c r="A379" s="132" t="s">
        <v>796</v>
      </c>
      <c r="B379" s="133">
        <v>4</v>
      </c>
      <c r="C379" s="134" t="str">
        <f>$A$6</f>
        <v>Y</v>
      </c>
      <c r="D379" s="134" t="str">
        <f>$A$5</f>
        <v>E</v>
      </c>
      <c r="E379" s="134" t="str">
        <f>$A$8</f>
        <v>T</v>
      </c>
      <c r="F379" s="134" t="str">
        <f>$A$7</f>
        <v>R</v>
      </c>
      <c r="G379" s="134" t="str">
        <f>$A$6&amp;$A$6</f>
        <v>YY</v>
      </c>
      <c r="H379" s="134" t="str">
        <f>$A$5&amp;$A$5</f>
        <v>EE</v>
      </c>
      <c r="I379" s="134" t="str">
        <f>$A$8&amp;$A$8</f>
        <v>TT</v>
      </c>
      <c r="J379" s="134" t="str">
        <f>$A$7&amp;$A$7</f>
        <v>RR</v>
      </c>
      <c r="L379" s="132" t="s">
        <v>655</v>
      </c>
      <c r="M379" s="133">
        <v>4</v>
      </c>
      <c r="N379" s="134" t="str">
        <f>$A$7</f>
        <v>R</v>
      </c>
      <c r="O379" s="134" t="str">
        <f>$A$5</f>
        <v>E</v>
      </c>
      <c r="P379" s="134" t="str">
        <f>$A$8</f>
        <v>T</v>
      </c>
      <c r="Q379" s="134" t="str">
        <f>$A$6</f>
        <v>Y</v>
      </c>
      <c r="R379" s="134" t="str">
        <f>$A$7&amp;$A$7</f>
        <v>RR</v>
      </c>
      <c r="S379" s="134" t="str">
        <f>$A$5&amp;$A$5</f>
        <v>EE</v>
      </c>
      <c r="T379" s="134" t="str">
        <f>$A$8&amp;$A$8</f>
        <v>TT</v>
      </c>
      <c r="U379" s="134" t="str">
        <f>$A$6&amp;$A$6</f>
        <v>YY</v>
      </c>
    </row>
    <row r="380" spans="1:21" ht="12">
      <c r="A380" s="132" t="s">
        <v>796</v>
      </c>
      <c r="B380" s="133">
        <v>5</v>
      </c>
      <c r="C380" s="134" t="str">
        <f>$A$7</f>
        <v>R</v>
      </c>
      <c r="D380" s="134" t="str">
        <f>$A$6</f>
        <v>Y</v>
      </c>
      <c r="E380" s="134" t="str">
        <f>$A$8</f>
        <v>T</v>
      </c>
      <c r="F380" s="134" t="str">
        <f>$A$5</f>
        <v>E</v>
      </c>
      <c r="G380" s="134" t="str">
        <f>$A$7&amp;$A$7</f>
        <v>RR</v>
      </c>
      <c r="H380" s="134" t="str">
        <f>$A$6&amp;$A$6</f>
        <v>YY</v>
      </c>
      <c r="I380" s="134" t="str">
        <f>$A$8&amp;$A$8</f>
        <v>TT</v>
      </c>
      <c r="J380" s="134" t="str">
        <f>$A$5&amp;$A$5</f>
        <v>EE</v>
      </c>
      <c r="L380" s="132" t="s">
        <v>654</v>
      </c>
      <c r="M380" s="135">
        <v>5</v>
      </c>
      <c r="N380" s="134" t="str">
        <f>$A$6</f>
        <v>Y</v>
      </c>
      <c r="O380" s="134" t="str">
        <f>$A$7</f>
        <v>R</v>
      </c>
      <c r="P380" s="134" t="str">
        <f>$A$8</f>
        <v>T</v>
      </c>
      <c r="Q380" s="134" t="str">
        <f>$A$5</f>
        <v>E</v>
      </c>
      <c r="R380" s="134" t="str">
        <f>$A$6&amp;$A$6</f>
        <v>YY</v>
      </c>
      <c r="S380" s="134" t="str">
        <f>$A$7&amp;$A$7</f>
        <v>RR</v>
      </c>
      <c r="T380" s="134" t="str">
        <f>$A$8&amp;$A$8</f>
        <v>TT</v>
      </c>
      <c r="U380" s="134" t="str">
        <f>$A$5&amp;$A$5</f>
        <v>EE</v>
      </c>
    </row>
    <row r="381" spans="1:21" ht="12">
      <c r="A381" s="132" t="s">
        <v>797</v>
      </c>
      <c r="B381" s="133">
        <v>1</v>
      </c>
      <c r="C381" s="134" t="str">
        <f>$A$7</f>
        <v>R</v>
      </c>
      <c r="D381" s="134" t="str">
        <f>$A$8</f>
        <v>T</v>
      </c>
      <c r="E381" s="134" t="str">
        <f>$A$6</f>
        <v>Y</v>
      </c>
      <c r="F381" s="134" t="str">
        <f>$A$5</f>
        <v>E</v>
      </c>
      <c r="G381" s="134" t="str">
        <f>$A$7&amp;$A$7</f>
        <v>RR</v>
      </c>
      <c r="H381" s="134" t="str">
        <f>$A$8&amp;$A$8</f>
        <v>TT</v>
      </c>
      <c r="I381" s="134" t="str">
        <f>$A$6&amp;$A$6</f>
        <v>YY</v>
      </c>
      <c r="J381" s="134" t="str">
        <f>$A$5&amp;$A$5</f>
        <v>EE</v>
      </c>
      <c r="L381" s="132" t="s">
        <v>796</v>
      </c>
      <c r="M381" s="133">
        <v>1</v>
      </c>
      <c r="N381" s="134" t="str">
        <f>$A$8</f>
        <v>T</v>
      </c>
      <c r="O381" s="134" t="str">
        <f>$A$5</f>
        <v>E</v>
      </c>
      <c r="P381" s="134" t="str">
        <f>$A$6</f>
        <v>Y</v>
      </c>
      <c r="Q381" s="134" t="str">
        <f>$A$7</f>
        <v>R</v>
      </c>
      <c r="R381" s="134" t="str">
        <f>$A$8&amp;$A$8</f>
        <v>TT</v>
      </c>
      <c r="S381" s="134" t="str">
        <f>$A$5&amp;$A$5</f>
        <v>EE</v>
      </c>
      <c r="T381" s="134" t="str">
        <f>$A$6&amp;$A$6</f>
        <v>YY</v>
      </c>
      <c r="U381" s="134" t="str">
        <f>$A$7&amp;$A$7</f>
        <v>RR</v>
      </c>
    </row>
    <row r="382" spans="1:21" ht="12">
      <c r="A382" s="132" t="s">
        <v>798</v>
      </c>
      <c r="B382" s="133">
        <v>2</v>
      </c>
      <c r="C382" s="134" t="str">
        <f>$A$5</f>
        <v>E</v>
      </c>
      <c r="D382" s="134" t="str">
        <f>$A$8</f>
        <v>T</v>
      </c>
      <c r="E382" s="134" t="str">
        <f>$A$6</f>
        <v>Y</v>
      </c>
      <c r="F382" s="134" t="str">
        <f>$A$7</f>
        <v>R</v>
      </c>
      <c r="G382" s="134" t="str">
        <f>$A$5&amp;$A$5</f>
        <v>EE</v>
      </c>
      <c r="H382" s="134" t="str">
        <f>$A$8&amp;$A$8</f>
        <v>TT</v>
      </c>
      <c r="I382" s="134" t="str">
        <f>$A$6&amp;$A$6</f>
        <v>YY</v>
      </c>
      <c r="J382" s="134" t="str">
        <f>$A$7&amp;$A$7</f>
        <v>RR</v>
      </c>
      <c r="L382" s="132" t="s">
        <v>796</v>
      </c>
      <c r="M382" s="133">
        <v>2</v>
      </c>
      <c r="N382" s="134" t="str">
        <f>$A$6</f>
        <v>Y</v>
      </c>
      <c r="O382" s="134" t="str">
        <f>$A$8</f>
        <v>T</v>
      </c>
      <c r="P382" s="134" t="str">
        <f>$A$7</f>
        <v>R</v>
      </c>
      <c r="Q382" s="134" t="str">
        <f>$A$5</f>
        <v>E</v>
      </c>
      <c r="R382" s="134" t="str">
        <f>$A$6&amp;$A$6</f>
        <v>YY</v>
      </c>
      <c r="S382" s="134" t="str">
        <f>$A$8&amp;$A$8</f>
        <v>TT</v>
      </c>
      <c r="T382" s="134" t="str">
        <f>$A$7&amp;$A$7</f>
        <v>RR</v>
      </c>
      <c r="U382" s="134" t="str">
        <f>$A$5&amp;$A$5</f>
        <v>EE</v>
      </c>
    </row>
    <row r="383" spans="1:21" ht="12">
      <c r="A383" s="132" t="s">
        <v>797</v>
      </c>
      <c r="B383" s="133">
        <v>3</v>
      </c>
      <c r="C383" s="134" t="str">
        <f>$A$8</f>
        <v>T</v>
      </c>
      <c r="D383" s="134" t="str">
        <f>$A$6</f>
        <v>Y</v>
      </c>
      <c r="E383" s="134" t="str">
        <f>$A$5</f>
        <v>E</v>
      </c>
      <c r="F383" s="134" t="str">
        <f>$A$7</f>
        <v>R</v>
      </c>
      <c r="G383" s="134" t="str">
        <f>$A$8&amp;$A$8</f>
        <v>TT</v>
      </c>
      <c r="H383" s="134" t="str">
        <f>$A$6&amp;$A$6</f>
        <v>YY</v>
      </c>
      <c r="I383" s="134" t="str">
        <f>$A$5&amp;$A$5</f>
        <v>EE</v>
      </c>
      <c r="J383" s="134" t="str">
        <f>$A$7&amp;$A$7</f>
        <v>RR</v>
      </c>
      <c r="L383" s="132" t="s">
        <v>796</v>
      </c>
      <c r="M383" s="133">
        <v>3</v>
      </c>
      <c r="N383" s="134" t="str">
        <f>$A$7</f>
        <v>R</v>
      </c>
      <c r="O383" s="134" t="str">
        <f>$A$5</f>
        <v>E</v>
      </c>
      <c r="P383" s="134" t="str">
        <f>$A$6</f>
        <v>Y</v>
      </c>
      <c r="Q383" s="134" t="str">
        <f>$A$8</f>
        <v>T</v>
      </c>
      <c r="R383" s="134" t="str">
        <f>$A$7&amp;$A$7</f>
        <v>RR</v>
      </c>
      <c r="S383" s="134" t="str">
        <f>$A$5&amp;$A$5</f>
        <v>EE</v>
      </c>
      <c r="T383" s="134" t="str">
        <f>$A$6&amp;$A$6</f>
        <v>YY</v>
      </c>
      <c r="U383" s="134" t="str">
        <f>$A$8&amp;$A$8</f>
        <v>TT</v>
      </c>
    </row>
    <row r="384" spans="1:21" ht="12">
      <c r="A384" s="132" t="s">
        <v>798</v>
      </c>
      <c r="B384" s="133">
        <v>4</v>
      </c>
      <c r="C384" s="134" t="str">
        <f>$A$6</f>
        <v>Y</v>
      </c>
      <c r="D384" s="134" t="str">
        <f>$A$8</f>
        <v>T</v>
      </c>
      <c r="E384" s="134" t="str">
        <f>$A$7</f>
        <v>R</v>
      </c>
      <c r="F384" s="134" t="str">
        <f>$A$5</f>
        <v>E</v>
      </c>
      <c r="G384" s="134" t="str">
        <f>$A$6&amp;$A$6</f>
        <v>YY</v>
      </c>
      <c r="H384" s="134" t="str">
        <f>$A$8&amp;$A$8</f>
        <v>TT</v>
      </c>
      <c r="I384" s="134" t="str">
        <f>$A$7&amp;$A$7</f>
        <v>RR</v>
      </c>
      <c r="J384" s="134" t="str">
        <f>$A$5&amp;$A$5</f>
        <v>EE</v>
      </c>
      <c r="L384" s="132" t="s">
        <v>796</v>
      </c>
      <c r="M384" s="133">
        <v>4</v>
      </c>
      <c r="N384" s="134" t="str">
        <f>$A$5</f>
        <v>E</v>
      </c>
      <c r="O384" s="134" t="str">
        <f>$A$8</f>
        <v>T</v>
      </c>
      <c r="P384" s="134" t="str">
        <f>$A$6</f>
        <v>Y</v>
      </c>
      <c r="Q384" s="134" t="str">
        <f>$A$7</f>
        <v>R</v>
      </c>
      <c r="R384" s="134" t="str">
        <f>$A$5&amp;$A$5</f>
        <v>EE</v>
      </c>
      <c r="S384" s="134" t="str">
        <f>$A$8&amp;$A$8</f>
        <v>TT</v>
      </c>
      <c r="T384" s="134" t="str">
        <f>$A$6&amp;$A$6</f>
        <v>YY</v>
      </c>
      <c r="U384" s="134" t="str">
        <f>$A$7&amp;$A$7</f>
        <v>RR</v>
      </c>
    </row>
    <row r="385" spans="1:21" ht="12">
      <c r="A385" s="132" t="s">
        <v>797</v>
      </c>
      <c r="B385" s="133">
        <v>5</v>
      </c>
      <c r="C385" s="134" t="str">
        <f>$A$7</f>
        <v>R</v>
      </c>
      <c r="D385" s="134" t="str">
        <f>$A$5</f>
        <v>E</v>
      </c>
      <c r="E385" s="134" t="str">
        <f>$A$8</f>
        <v>T</v>
      </c>
      <c r="F385" s="134" t="str">
        <f>$A$6</f>
        <v>Y</v>
      </c>
      <c r="G385" s="134" t="str">
        <f>$A$7&amp;$A$7</f>
        <v>RR</v>
      </c>
      <c r="H385" s="134" t="str">
        <f>$A$5&amp;$A$5</f>
        <v>EE</v>
      </c>
      <c r="I385" s="134" t="str">
        <f>$A$8&amp;$A$8</f>
        <v>TT</v>
      </c>
      <c r="J385" s="134" t="str">
        <f>$A$6&amp;$A$6</f>
        <v>YY</v>
      </c>
      <c r="L385" s="132" t="s">
        <v>796</v>
      </c>
      <c r="M385" s="133">
        <v>5</v>
      </c>
      <c r="N385" s="134" t="str">
        <f>$A$8</f>
        <v>T</v>
      </c>
      <c r="O385" s="134" t="str">
        <f>$A$5</f>
        <v>E</v>
      </c>
      <c r="P385" s="134" t="str">
        <f>$A$6</f>
        <v>Y</v>
      </c>
      <c r="Q385" s="134" t="str">
        <f>$A$7</f>
        <v>R</v>
      </c>
      <c r="R385" s="134" t="str">
        <f>$A$8&amp;$A$8</f>
        <v>TT</v>
      </c>
      <c r="S385" s="134" t="str">
        <f>$A$5&amp;$A$5</f>
        <v>EE</v>
      </c>
      <c r="T385" s="134" t="str">
        <f>$A$6&amp;$A$6</f>
        <v>YY</v>
      </c>
      <c r="U385" s="134" t="str">
        <f>$A$7&amp;$A$7</f>
        <v>RR</v>
      </c>
    </row>
    <row r="386" spans="1:21" ht="12">
      <c r="A386" s="132" t="s">
        <v>655</v>
      </c>
      <c r="B386" s="133">
        <v>1</v>
      </c>
      <c r="C386" s="134" t="str">
        <f>$A$5</f>
        <v>E</v>
      </c>
      <c r="D386" s="134" t="str">
        <f>$A$8</f>
        <v>T</v>
      </c>
      <c r="E386" s="134" t="str">
        <f>$A$7</f>
        <v>R</v>
      </c>
      <c r="F386" s="134" t="str">
        <f>$A$6</f>
        <v>Y</v>
      </c>
      <c r="G386" s="134" t="str">
        <f>$A$5&amp;$A$5</f>
        <v>EE</v>
      </c>
      <c r="H386" s="134" t="str">
        <f>$A$8&amp;$A$8</f>
        <v>TT</v>
      </c>
      <c r="I386" s="134" t="str">
        <f>$A$7&amp;$A$7</f>
        <v>RR</v>
      </c>
      <c r="J386" s="134" t="str">
        <f>$A$6&amp;$A$6</f>
        <v>YY</v>
      </c>
      <c r="L386" s="132" t="s">
        <v>798</v>
      </c>
      <c r="M386" s="133">
        <v>1</v>
      </c>
      <c r="N386" s="134" t="str">
        <f>$A$5</f>
        <v>E</v>
      </c>
      <c r="O386" s="134" t="str">
        <f>$A$7</f>
        <v>R</v>
      </c>
      <c r="P386" s="134" t="str">
        <f>$A$6</f>
        <v>Y</v>
      </c>
      <c r="Q386" s="134" t="str">
        <f>$A$8</f>
        <v>T</v>
      </c>
      <c r="R386" s="134" t="str">
        <f>$A$5&amp;$A$5</f>
        <v>EE</v>
      </c>
      <c r="S386" s="134" t="str">
        <f>$A$7&amp;$A$7</f>
        <v>RR</v>
      </c>
      <c r="T386" s="134" t="str">
        <f>$A$6&amp;$A$6</f>
        <v>YY</v>
      </c>
      <c r="U386" s="134" t="str">
        <f>$A$8&amp;$A$8</f>
        <v>TT</v>
      </c>
    </row>
    <row r="387" spans="1:21" ht="12">
      <c r="A387" s="132" t="s">
        <v>656</v>
      </c>
      <c r="B387" s="133">
        <v>2</v>
      </c>
      <c r="C387" s="134" t="str">
        <f>$A$7</f>
        <v>R</v>
      </c>
      <c r="D387" s="134" t="str">
        <f>$A$5</f>
        <v>E</v>
      </c>
      <c r="E387" s="134" t="str">
        <f>$A$6</f>
        <v>Y</v>
      </c>
      <c r="F387" s="134" t="str">
        <f>$A$8</f>
        <v>T</v>
      </c>
      <c r="G387" s="134" t="str">
        <f>$A$7&amp;$A$7</f>
        <v>RR</v>
      </c>
      <c r="H387" s="134" t="str">
        <f>$A$5&amp;$A$5</f>
        <v>EE</v>
      </c>
      <c r="I387" s="134" t="str">
        <f>$A$6&amp;$A$6</f>
        <v>YY</v>
      </c>
      <c r="J387" s="134" t="str">
        <f>$A$8&amp;$A$8</f>
        <v>TT</v>
      </c>
      <c r="L387" s="132" t="s">
        <v>798</v>
      </c>
      <c r="M387" s="133">
        <v>2</v>
      </c>
      <c r="N387" s="134" t="str">
        <f>$A$6</f>
        <v>Y</v>
      </c>
      <c r="O387" s="134" t="str">
        <f>$A$7</f>
        <v>R</v>
      </c>
      <c r="P387" s="134" t="str">
        <f>$A$5</f>
        <v>E</v>
      </c>
      <c r="Q387" s="134" t="str">
        <f>$A$8</f>
        <v>T</v>
      </c>
      <c r="R387" s="134" t="str">
        <f>$A$6&amp;$A$6</f>
        <v>YY</v>
      </c>
      <c r="S387" s="134" t="str">
        <f>$A$7&amp;$A$7</f>
        <v>RR</v>
      </c>
      <c r="T387" s="134" t="str">
        <f>$A$5&amp;$A$5</f>
        <v>EE</v>
      </c>
      <c r="U387" s="134" t="str">
        <f>$A$8&amp;$A$8</f>
        <v>TT</v>
      </c>
    </row>
    <row r="388" spans="1:21" ht="12">
      <c r="A388" s="132" t="s">
        <v>655</v>
      </c>
      <c r="B388" s="133">
        <v>3</v>
      </c>
      <c r="C388" s="134" t="str">
        <f>$A$6</f>
        <v>Y</v>
      </c>
      <c r="D388" s="134" t="str">
        <f>$A$5</f>
        <v>E</v>
      </c>
      <c r="E388" s="134" t="str">
        <f>$A$8</f>
        <v>T</v>
      </c>
      <c r="F388" s="134" t="str">
        <f>$A$7</f>
        <v>R</v>
      </c>
      <c r="G388" s="134" t="str">
        <f>$A$6&amp;$A$6</f>
        <v>YY</v>
      </c>
      <c r="H388" s="134" t="str">
        <f>$A$5&amp;$A$5</f>
        <v>EE</v>
      </c>
      <c r="I388" s="134" t="str">
        <f>$A$8&amp;$A$8</f>
        <v>TT</v>
      </c>
      <c r="J388" s="134" t="str">
        <f>$A$7&amp;$A$7</f>
        <v>RR</v>
      </c>
      <c r="L388" s="132" t="s">
        <v>798</v>
      </c>
      <c r="M388" s="133">
        <v>3</v>
      </c>
      <c r="N388" s="134" t="str">
        <f>$A$8</f>
        <v>T</v>
      </c>
      <c r="O388" s="134" t="str">
        <f>$A$5</f>
        <v>E</v>
      </c>
      <c r="P388" s="134" t="str">
        <f>$A$7</f>
        <v>R</v>
      </c>
      <c r="Q388" s="134" t="str">
        <f>$A$6</f>
        <v>Y</v>
      </c>
      <c r="R388" s="134" t="str">
        <f>$A$8&amp;$A$8</f>
        <v>TT</v>
      </c>
      <c r="S388" s="134" t="str">
        <f>$A$5&amp;$A$5</f>
        <v>EE</v>
      </c>
      <c r="T388" s="134" t="str">
        <f>$A$7&amp;$A$7</f>
        <v>RR</v>
      </c>
      <c r="U388" s="134" t="str">
        <f>$A$6&amp;$A$6</f>
        <v>YY</v>
      </c>
    </row>
    <row r="389" spans="1:21" ht="12">
      <c r="A389" s="132" t="s">
        <v>656</v>
      </c>
      <c r="B389" s="133">
        <v>4</v>
      </c>
      <c r="C389" s="134" t="str">
        <f>$A$8</f>
        <v>T</v>
      </c>
      <c r="D389" s="134" t="str">
        <f>$A$7</f>
        <v>R</v>
      </c>
      <c r="E389" s="134" t="str">
        <f>$A$6</f>
        <v>Y</v>
      </c>
      <c r="F389" s="134" t="str">
        <f>$A$5</f>
        <v>E</v>
      </c>
      <c r="G389" s="134" t="str">
        <f>$A$8&amp;$A$8</f>
        <v>TT</v>
      </c>
      <c r="H389" s="134" t="str">
        <f>$A$7&amp;$A$7</f>
        <v>RR</v>
      </c>
      <c r="I389" s="134" t="str">
        <f>$A$6&amp;$A$6</f>
        <v>YY</v>
      </c>
      <c r="J389" s="134" t="str">
        <f>$A$5&amp;$A$5</f>
        <v>EE</v>
      </c>
      <c r="L389" s="132" t="s">
        <v>798</v>
      </c>
      <c r="M389" s="133">
        <v>4</v>
      </c>
      <c r="N389" s="134" t="str">
        <f>$A$7</f>
        <v>R</v>
      </c>
      <c r="O389" s="134" t="str">
        <f>$A$6</f>
        <v>Y</v>
      </c>
      <c r="P389" s="134" t="str">
        <f>$A$8</f>
        <v>T</v>
      </c>
      <c r="Q389" s="134" t="str">
        <f>$A$5</f>
        <v>E</v>
      </c>
      <c r="R389" s="134" t="str">
        <f>$A$7&amp;$A$7</f>
        <v>RR</v>
      </c>
      <c r="S389" s="134" t="str">
        <f>$A$6&amp;$A$6</f>
        <v>YY</v>
      </c>
      <c r="T389" s="134" t="str">
        <f>$A$8&amp;$A$8</f>
        <v>TT</v>
      </c>
      <c r="U389" s="134" t="str">
        <f>$A$5&amp;$A$5</f>
        <v>EE</v>
      </c>
    </row>
    <row r="390" spans="1:21" ht="12">
      <c r="A390" s="132" t="s">
        <v>655</v>
      </c>
      <c r="B390" s="133">
        <v>5</v>
      </c>
      <c r="C390" s="134" t="str">
        <f>$A$5</f>
        <v>E</v>
      </c>
      <c r="D390" s="134" t="str">
        <f>$A$8</f>
        <v>T</v>
      </c>
      <c r="E390" s="134" t="str">
        <f>$A$7</f>
        <v>R</v>
      </c>
      <c r="F390" s="134" t="str">
        <f>$A$6</f>
        <v>Y</v>
      </c>
      <c r="G390" s="134" t="str">
        <f>$A$5&amp;$A$5</f>
        <v>EE</v>
      </c>
      <c r="H390" s="134" t="str">
        <f>$A$8&amp;$A$8</f>
        <v>TT</v>
      </c>
      <c r="I390" s="134" t="str">
        <f>$A$7&amp;$A$7</f>
        <v>RR</v>
      </c>
      <c r="J390" s="134" t="str">
        <f>$A$6&amp;$A$6</f>
        <v>YY</v>
      </c>
      <c r="L390" s="132" t="s">
        <v>798</v>
      </c>
      <c r="M390" s="133">
        <v>5</v>
      </c>
      <c r="N390" s="134" t="str">
        <f>$A$5</f>
        <v>E</v>
      </c>
      <c r="O390" s="134" t="str">
        <f>$A$6</f>
        <v>Y</v>
      </c>
      <c r="P390" s="134" t="str">
        <f>$A$7</f>
        <v>R</v>
      </c>
      <c r="Q390" s="134" t="str">
        <f>$A$8</f>
        <v>T</v>
      </c>
      <c r="R390" s="134" t="str">
        <f>$A$5&amp;$A$5</f>
        <v>EE</v>
      </c>
      <c r="S390" s="134" t="str">
        <f>$A$6&amp;$A$6</f>
        <v>YY</v>
      </c>
      <c r="T390" s="134" t="str">
        <f>$A$7&amp;$A$7</f>
        <v>RR</v>
      </c>
      <c r="U390" s="134" t="str">
        <f>$A$8&amp;$A$8</f>
        <v>TT</v>
      </c>
    </row>
    <row r="391" spans="1:21" ht="12">
      <c r="A391" s="132" t="s">
        <v>799</v>
      </c>
      <c r="B391" s="133">
        <v>1</v>
      </c>
      <c r="C391" s="134" t="str">
        <f>$A$8</f>
        <v>T</v>
      </c>
      <c r="D391" s="134" t="str">
        <f>$A$6</f>
        <v>Y</v>
      </c>
      <c r="E391" s="134" t="str">
        <f>$A$7</f>
        <v>R</v>
      </c>
      <c r="F391" s="134" t="str">
        <f>$A$5</f>
        <v>E</v>
      </c>
      <c r="G391" s="134" t="str">
        <f>$A$8&amp;$A$8</f>
        <v>TT</v>
      </c>
      <c r="H391" s="134" t="str">
        <f>$A$6&amp;$A$6</f>
        <v>YY</v>
      </c>
      <c r="I391" s="134" t="str">
        <f>$A$7&amp;$A$7</f>
        <v>RR</v>
      </c>
      <c r="J391" s="134" t="str">
        <f>$A$5&amp;$A$5</f>
        <v>EE</v>
      </c>
      <c r="L391" s="132" t="s">
        <v>799</v>
      </c>
      <c r="M391" s="133">
        <v>1</v>
      </c>
      <c r="N391" s="134" t="str">
        <f>$A$5</f>
        <v>E</v>
      </c>
      <c r="O391" s="134" t="str">
        <f>$A$7</f>
        <v>R</v>
      </c>
      <c r="P391" s="134" t="str">
        <f>$A$8</f>
        <v>T</v>
      </c>
      <c r="Q391" s="134" t="str">
        <f>$A$6</f>
        <v>Y</v>
      </c>
      <c r="R391" s="134" t="str">
        <f>$A$5&amp;$A$5</f>
        <v>EE</v>
      </c>
      <c r="S391" s="134" t="str">
        <f>$A$7&amp;$A$7</f>
        <v>RR</v>
      </c>
      <c r="T391" s="134" t="str">
        <f>$A$8&amp;$A$8</f>
        <v>TT</v>
      </c>
      <c r="U391" s="134" t="str">
        <f>$A$6&amp;$A$6</f>
        <v>YY</v>
      </c>
    </row>
    <row r="392" spans="1:21" ht="12">
      <c r="A392" s="132" t="s">
        <v>799</v>
      </c>
      <c r="B392" s="133">
        <v>2</v>
      </c>
      <c r="C392" s="134" t="str">
        <f>$A$5</f>
        <v>E</v>
      </c>
      <c r="D392" s="134" t="str">
        <f>$A$7</f>
        <v>R</v>
      </c>
      <c r="E392" s="134" t="str">
        <f>$A$6</f>
        <v>Y</v>
      </c>
      <c r="F392" s="134" t="str">
        <f>$A$8</f>
        <v>T</v>
      </c>
      <c r="G392" s="134" t="str">
        <f>$A$5&amp;$A$5</f>
        <v>EE</v>
      </c>
      <c r="H392" s="134" t="str">
        <f>$A$7&amp;$A$7</f>
        <v>RR</v>
      </c>
      <c r="I392" s="134" t="str">
        <f>$A$6&amp;$A$6</f>
        <v>YY</v>
      </c>
      <c r="J392" s="134" t="str">
        <f>$A$8&amp;$A$8</f>
        <v>TT</v>
      </c>
      <c r="L392" s="132" t="s">
        <v>799</v>
      </c>
      <c r="M392" s="133">
        <v>2</v>
      </c>
      <c r="N392" s="134" t="str">
        <f>$A$7</f>
        <v>R</v>
      </c>
      <c r="O392" s="134" t="str">
        <f>$A$6</f>
        <v>Y</v>
      </c>
      <c r="P392" s="134" t="str">
        <f>$A$8</f>
        <v>T</v>
      </c>
      <c r="Q392" s="134" t="str">
        <f>$A$5</f>
        <v>E</v>
      </c>
      <c r="R392" s="134" t="str">
        <f>$A$7&amp;$A$7</f>
        <v>RR</v>
      </c>
      <c r="S392" s="134" t="str">
        <f>$A$6&amp;$A$6</f>
        <v>YY</v>
      </c>
      <c r="T392" s="134" t="str">
        <f>$A$8&amp;$A$8</f>
        <v>TT</v>
      </c>
      <c r="U392" s="134" t="str">
        <f>$A$5&amp;$A$5</f>
        <v>EE</v>
      </c>
    </row>
    <row r="393" spans="1:21" ht="12">
      <c r="A393" s="132" t="s">
        <v>799</v>
      </c>
      <c r="B393" s="133">
        <v>3</v>
      </c>
      <c r="C393" s="134" t="str">
        <f>$A$6</f>
        <v>Y</v>
      </c>
      <c r="D393" s="134" t="str">
        <f>$A$5</f>
        <v>E</v>
      </c>
      <c r="E393" s="134" t="str">
        <f>$A$7</f>
        <v>R</v>
      </c>
      <c r="F393" s="134" t="str">
        <f>$A$8</f>
        <v>T</v>
      </c>
      <c r="G393" s="134" t="str">
        <f>$A$6&amp;$A$6</f>
        <v>YY</v>
      </c>
      <c r="H393" s="134" t="str">
        <f>$A$5&amp;$A$5</f>
        <v>EE</v>
      </c>
      <c r="I393" s="134" t="str">
        <f>$A$7&amp;$A$7</f>
        <v>RR</v>
      </c>
      <c r="J393" s="134" t="str">
        <f>$A$8&amp;$A$8</f>
        <v>TT</v>
      </c>
      <c r="L393" s="132" t="s">
        <v>799</v>
      </c>
      <c r="M393" s="133">
        <v>3</v>
      </c>
      <c r="N393" s="134" t="str">
        <f>$A$6</f>
        <v>Y</v>
      </c>
      <c r="O393" s="134" t="str">
        <f>$A$5</f>
        <v>E</v>
      </c>
      <c r="P393" s="134" t="str">
        <f>$A$8</f>
        <v>T</v>
      </c>
      <c r="Q393" s="134" t="str">
        <f>$A$7</f>
        <v>R</v>
      </c>
      <c r="R393" s="134" t="str">
        <f>$A$6&amp;$A$6</f>
        <v>YY</v>
      </c>
      <c r="S393" s="134" t="str">
        <f>$A$5&amp;$A$5</f>
        <v>EE</v>
      </c>
      <c r="T393" s="134" t="str">
        <f>$A$8&amp;$A$8</f>
        <v>TT</v>
      </c>
      <c r="U393" s="134" t="str">
        <f>$A$7&amp;$A$7</f>
        <v>RR</v>
      </c>
    </row>
    <row r="394" spans="1:21" ht="12">
      <c r="A394" s="132" t="s">
        <v>799</v>
      </c>
      <c r="B394" s="133">
        <v>4</v>
      </c>
      <c r="C394" s="134" t="str">
        <f>$A$7</f>
        <v>R</v>
      </c>
      <c r="D394" s="134" t="str">
        <f>$A$8</f>
        <v>T</v>
      </c>
      <c r="E394" s="134" t="str">
        <f>$A$5</f>
        <v>E</v>
      </c>
      <c r="F394" s="134" t="str">
        <f>$A$6</f>
        <v>Y</v>
      </c>
      <c r="G394" s="134" t="str">
        <f>$A$7&amp;$A$7</f>
        <v>RR</v>
      </c>
      <c r="H394" s="134" t="str">
        <f>$A$8&amp;$A$8</f>
        <v>TT</v>
      </c>
      <c r="I394" s="134" t="str">
        <f>$A$5&amp;$A$5</f>
        <v>EE</v>
      </c>
      <c r="J394" s="134" t="str">
        <f>$A$6&amp;$A$6</f>
        <v>YY</v>
      </c>
      <c r="L394" s="132" t="s">
        <v>799</v>
      </c>
      <c r="M394" s="133">
        <v>4</v>
      </c>
      <c r="N394" s="134" t="str">
        <f>$A$8</f>
        <v>T</v>
      </c>
      <c r="O394" s="134" t="str">
        <f>$A$7</f>
        <v>R</v>
      </c>
      <c r="P394" s="134" t="str">
        <f>$A$5</f>
        <v>E</v>
      </c>
      <c r="Q394" s="134" t="str">
        <f>$A$6</f>
        <v>Y</v>
      </c>
      <c r="R394" s="134" t="str">
        <f>$A$8&amp;$A$8</f>
        <v>TT</v>
      </c>
      <c r="S394" s="134" t="str">
        <f>$A$7&amp;$A$7</f>
        <v>RR</v>
      </c>
      <c r="T394" s="134" t="str">
        <f>$A$5&amp;$A$5</f>
        <v>EE</v>
      </c>
      <c r="U394" s="134" t="str">
        <f>$A$6&amp;$A$6</f>
        <v>YY</v>
      </c>
    </row>
    <row r="395" spans="1:21" ht="12">
      <c r="A395" s="132" t="s">
        <v>799</v>
      </c>
      <c r="B395" s="133">
        <v>5</v>
      </c>
      <c r="C395" s="134" t="str">
        <f>$A$8</f>
        <v>T</v>
      </c>
      <c r="D395" s="134" t="str">
        <f>$A$5</f>
        <v>E</v>
      </c>
      <c r="E395" s="134" t="str">
        <f>$A$7</f>
        <v>R</v>
      </c>
      <c r="F395" s="134" t="str">
        <f>$A$6</f>
        <v>Y</v>
      </c>
      <c r="G395" s="134" t="str">
        <f>$A$8&amp;$A$8</f>
        <v>TT</v>
      </c>
      <c r="H395" s="134" t="str">
        <f>$A$5&amp;$A$5</f>
        <v>EE</v>
      </c>
      <c r="I395" s="134" t="str">
        <f>$A$7&amp;$A$7</f>
        <v>RR</v>
      </c>
      <c r="J395" s="134" t="str">
        <f>$A$6&amp;$A$6</f>
        <v>YY</v>
      </c>
      <c r="L395" s="132" t="s">
        <v>799</v>
      </c>
      <c r="M395" s="133">
        <v>5</v>
      </c>
      <c r="N395" s="134" t="str">
        <f>$A$5</f>
        <v>E</v>
      </c>
      <c r="O395" s="134" t="str">
        <f>$A$8</f>
        <v>T</v>
      </c>
      <c r="P395" s="134" t="str">
        <f>$A$7</f>
        <v>R</v>
      </c>
      <c r="Q395" s="134" t="str">
        <f>$A$6</f>
        <v>Y</v>
      </c>
      <c r="R395" s="134" t="str">
        <f>$A$5&amp;$A$5</f>
        <v>EE</v>
      </c>
      <c r="S395" s="134" t="str">
        <f>$A$8&amp;$A$8</f>
        <v>TT</v>
      </c>
      <c r="T395" s="134" t="str">
        <f>$A$7&amp;$A$7</f>
        <v>RR</v>
      </c>
      <c r="U395" s="134" t="str">
        <f>$A$6&amp;$A$6</f>
        <v>YY</v>
      </c>
    </row>
    <row r="396" spans="1:21" ht="12">
      <c r="A396" s="132" t="s">
        <v>800</v>
      </c>
      <c r="B396" s="133">
        <v>1</v>
      </c>
      <c r="C396" s="134" t="str">
        <f>$A$8</f>
        <v>T</v>
      </c>
      <c r="D396" s="134" t="str">
        <f>$A$5</f>
        <v>E</v>
      </c>
      <c r="E396" s="134" t="str">
        <f>$A$7</f>
        <v>R</v>
      </c>
      <c r="F396" s="134" t="str">
        <f>$A$6</f>
        <v>Y</v>
      </c>
      <c r="G396" s="134" t="str">
        <f>$A$8&amp;$A$8</f>
        <v>TT</v>
      </c>
      <c r="H396" s="134" t="str">
        <f>$A$5&amp;$A$5</f>
        <v>EE</v>
      </c>
      <c r="I396" s="134" t="str">
        <f>$A$7&amp;$A$7</f>
        <v>RR</v>
      </c>
      <c r="J396" s="134" t="str">
        <f>$A$6&amp;$A$6</f>
        <v>YY</v>
      </c>
      <c r="L396" s="132" t="s">
        <v>800</v>
      </c>
      <c r="M396" s="133">
        <v>1</v>
      </c>
      <c r="N396" s="134" t="str">
        <f>$A$8</f>
        <v>T</v>
      </c>
      <c r="O396" s="134" t="str">
        <f>$A$7</f>
        <v>R</v>
      </c>
      <c r="P396" s="134" t="str">
        <f>$A$6</f>
        <v>Y</v>
      </c>
      <c r="Q396" s="134" t="str">
        <f>$A$5</f>
        <v>E</v>
      </c>
      <c r="R396" s="134" t="str">
        <f>$A$8&amp;$A$8</f>
        <v>TT</v>
      </c>
      <c r="S396" s="134" t="str">
        <f>$A$7&amp;$A$7</f>
        <v>RR</v>
      </c>
      <c r="T396" s="134" t="str">
        <f>$A$6&amp;$A$6</f>
        <v>YY</v>
      </c>
      <c r="U396" s="134" t="str">
        <f>$A$5&amp;$A$5</f>
        <v>EE</v>
      </c>
    </row>
    <row r="397" spans="1:21" ht="12">
      <c r="A397" s="132" t="s">
        <v>800</v>
      </c>
      <c r="B397" s="133">
        <v>2</v>
      </c>
      <c r="C397" s="134" t="str">
        <f>$A$6</f>
        <v>Y</v>
      </c>
      <c r="D397" s="134" t="str">
        <f>$A$5</f>
        <v>E</v>
      </c>
      <c r="E397" s="134" t="str">
        <f>$A$7</f>
        <v>R</v>
      </c>
      <c r="F397" s="134" t="str">
        <f>$A$8</f>
        <v>T</v>
      </c>
      <c r="G397" s="134" t="str">
        <f>$A$6&amp;$A$6</f>
        <v>YY</v>
      </c>
      <c r="H397" s="134" t="str">
        <f>$A$5&amp;$A$5</f>
        <v>EE</v>
      </c>
      <c r="I397" s="134" t="str">
        <f>$A$7&amp;$A$7</f>
        <v>RR</v>
      </c>
      <c r="J397" s="134" t="str">
        <f>$A$8&amp;$A$8</f>
        <v>TT</v>
      </c>
      <c r="L397" s="132" t="s">
        <v>800</v>
      </c>
      <c r="M397" s="133">
        <v>2</v>
      </c>
      <c r="N397" s="134" t="str">
        <f>$A$7</f>
        <v>R</v>
      </c>
      <c r="O397" s="134" t="str">
        <f>$A$5</f>
        <v>E</v>
      </c>
      <c r="P397" s="134" t="str">
        <f>$A$6</f>
        <v>Y</v>
      </c>
      <c r="Q397" s="134" t="str">
        <f>$A$8</f>
        <v>T</v>
      </c>
      <c r="R397" s="134" t="str">
        <f>$A$7&amp;$A$7</f>
        <v>RR</v>
      </c>
      <c r="S397" s="134" t="str">
        <f>$A$5&amp;$A$5</f>
        <v>EE</v>
      </c>
      <c r="T397" s="134" t="str">
        <f>$A$6&amp;$A$6</f>
        <v>YY</v>
      </c>
      <c r="U397" s="134" t="str">
        <f>$A$8&amp;$A$8</f>
        <v>TT</v>
      </c>
    </row>
    <row r="398" spans="1:21" ht="12">
      <c r="A398" s="132" t="s">
        <v>800</v>
      </c>
      <c r="B398" s="133">
        <v>3</v>
      </c>
      <c r="C398" s="134" t="str">
        <f>$A$5</f>
        <v>E</v>
      </c>
      <c r="D398" s="134" t="str">
        <f>$A$7</f>
        <v>R</v>
      </c>
      <c r="E398" s="134" t="str">
        <f>$A$8</f>
        <v>T</v>
      </c>
      <c r="F398" s="134" t="str">
        <f>$A$6</f>
        <v>Y</v>
      </c>
      <c r="G398" s="134" t="str">
        <f>$A$5&amp;$A$5</f>
        <v>EE</v>
      </c>
      <c r="H398" s="134" t="str">
        <f>$A$7&amp;$A$7</f>
        <v>RR</v>
      </c>
      <c r="I398" s="134" t="str">
        <f>$A$8&amp;$A$8</f>
        <v>TT</v>
      </c>
      <c r="J398" s="134" t="str">
        <f>$A$6&amp;$A$6</f>
        <v>YY</v>
      </c>
      <c r="L398" s="132" t="s">
        <v>800</v>
      </c>
      <c r="M398" s="133">
        <v>3</v>
      </c>
      <c r="N398" s="134" t="str">
        <f>$A$6</f>
        <v>Y</v>
      </c>
      <c r="O398" s="134" t="str">
        <f>$A$8</f>
        <v>T</v>
      </c>
      <c r="P398" s="134" t="str">
        <f>$A$5</f>
        <v>E</v>
      </c>
      <c r="Q398" s="134" t="str">
        <f>$A$7</f>
        <v>R</v>
      </c>
      <c r="R398" s="134" t="str">
        <f>$A$6&amp;$A$6</f>
        <v>YY</v>
      </c>
      <c r="S398" s="134" t="str">
        <f>$A$8&amp;$A$8</f>
        <v>TT</v>
      </c>
      <c r="T398" s="134" t="str">
        <f>$A$5&amp;$A$5</f>
        <v>EE</v>
      </c>
      <c r="U398" s="134" t="str">
        <f>$A$7&amp;$A$7</f>
        <v>RR</v>
      </c>
    </row>
    <row r="399" spans="1:21" ht="12">
      <c r="A399" s="132" t="s">
        <v>800</v>
      </c>
      <c r="B399" s="133">
        <v>4</v>
      </c>
      <c r="C399" s="134" t="str">
        <f>$A$7</f>
        <v>R</v>
      </c>
      <c r="D399" s="134" t="str">
        <f>$A$6</f>
        <v>Y</v>
      </c>
      <c r="E399" s="134" t="str">
        <f>$A$5</f>
        <v>E</v>
      </c>
      <c r="F399" s="134" t="str">
        <f>$A$8</f>
        <v>T</v>
      </c>
      <c r="G399" s="134" t="str">
        <f>$A$7&amp;$A$7</f>
        <v>RR</v>
      </c>
      <c r="H399" s="134" t="str">
        <f>$A$6&amp;$A$6</f>
        <v>YY</v>
      </c>
      <c r="I399" s="134" t="str">
        <f>$A$5&amp;$A$5</f>
        <v>EE</v>
      </c>
      <c r="J399" s="134" t="str">
        <f>$A$8&amp;$A$8</f>
        <v>TT</v>
      </c>
      <c r="L399" s="132" t="s">
        <v>800</v>
      </c>
      <c r="M399" s="133">
        <v>4</v>
      </c>
      <c r="N399" s="134" t="str">
        <f>$A$5</f>
        <v>E</v>
      </c>
      <c r="O399" s="134" t="str">
        <f>$A$7</f>
        <v>R</v>
      </c>
      <c r="P399" s="134" t="str">
        <f>$A$8</f>
        <v>T</v>
      </c>
      <c r="Q399" s="134" t="str">
        <f>$A$6</f>
        <v>Y</v>
      </c>
      <c r="R399" s="134" t="str">
        <f>$A$5&amp;$A$5</f>
        <v>EE</v>
      </c>
      <c r="S399" s="134" t="str">
        <f>$A$7&amp;$A$7</f>
        <v>RR</v>
      </c>
      <c r="T399" s="134" t="str">
        <f>$A$8&amp;$A$8</f>
        <v>TT</v>
      </c>
      <c r="U399" s="134" t="str">
        <f>$A$6&amp;$A$6</f>
        <v>YY</v>
      </c>
    </row>
    <row r="400" spans="1:21" ht="12">
      <c r="A400" s="132" t="s">
        <v>800</v>
      </c>
      <c r="B400" s="133">
        <v>5</v>
      </c>
      <c r="C400" s="134" t="str">
        <f>$A$6</f>
        <v>Y</v>
      </c>
      <c r="D400" s="134" t="str">
        <f>$A$5</f>
        <v>E</v>
      </c>
      <c r="E400" s="134" t="str">
        <f>$A$8</f>
        <v>T</v>
      </c>
      <c r="F400" s="134" t="str">
        <f>$A$7</f>
        <v>R</v>
      </c>
      <c r="G400" s="134" t="str">
        <f>$A$6&amp;$A$6</f>
        <v>YY</v>
      </c>
      <c r="H400" s="134" t="str">
        <f>$A$5&amp;$A$5</f>
        <v>EE</v>
      </c>
      <c r="I400" s="134" t="str">
        <f>$A$8&amp;$A$8</f>
        <v>TT</v>
      </c>
      <c r="J400" s="134" t="str">
        <f>$A$7&amp;$A$7</f>
        <v>RR</v>
      </c>
      <c r="L400" s="132" t="s">
        <v>800</v>
      </c>
      <c r="M400" s="135">
        <v>5</v>
      </c>
      <c r="N400" s="134" t="str">
        <f>$A$8</f>
        <v>T</v>
      </c>
      <c r="O400" s="134" t="str">
        <f>$A$6</f>
        <v>Y</v>
      </c>
      <c r="P400" s="134" t="str">
        <f>$A$7</f>
        <v>R</v>
      </c>
      <c r="Q400" s="134" t="str">
        <f>$A$5</f>
        <v>E</v>
      </c>
      <c r="R400" s="134" t="str">
        <f>$A$8&amp;$A$8</f>
        <v>TT</v>
      </c>
      <c r="S400" s="134" t="str">
        <f>$A$6&amp;$A$6</f>
        <v>YY</v>
      </c>
      <c r="T400" s="134" t="str">
        <f>$A$7&amp;$A$7</f>
        <v>RR</v>
      </c>
      <c r="U400" s="134" t="str">
        <f>$A$5&amp;$A$5</f>
        <v>EE</v>
      </c>
    </row>
    <row r="401" spans="1:21" ht="12">
      <c r="A401" s="132" t="s">
        <v>801</v>
      </c>
      <c r="B401" s="133">
        <v>1</v>
      </c>
      <c r="C401" s="134" t="str">
        <f>$A$6</f>
        <v>Y</v>
      </c>
      <c r="D401" s="134" t="str">
        <f>$A$7</f>
        <v>R</v>
      </c>
      <c r="E401" s="134" t="str">
        <f>$A$8</f>
        <v>T</v>
      </c>
      <c r="F401" s="134" t="str">
        <f>$A$5</f>
        <v>E</v>
      </c>
      <c r="G401" s="134" t="str">
        <f>$A$6&amp;$A$6</f>
        <v>YY</v>
      </c>
      <c r="H401" s="134" t="str">
        <f>$A$7&amp;$A$7</f>
        <v>RR</v>
      </c>
      <c r="I401" s="134" t="str">
        <f>$A$8&amp;$A$8</f>
        <v>TT</v>
      </c>
      <c r="J401" s="134" t="str">
        <f>$A$5&amp;$A$5</f>
        <v>EE</v>
      </c>
      <c r="L401" s="132" t="s">
        <v>801</v>
      </c>
      <c r="M401" s="133">
        <v>1</v>
      </c>
      <c r="N401" s="134" t="str">
        <f>$A$5</f>
        <v>E</v>
      </c>
      <c r="O401" s="134" t="str">
        <f>$A$8</f>
        <v>T</v>
      </c>
      <c r="P401" s="134" t="str">
        <f>$A$6</f>
        <v>Y</v>
      </c>
      <c r="Q401" s="134" t="str">
        <f>$A$7</f>
        <v>R</v>
      </c>
      <c r="R401" s="134" t="str">
        <f>$A$5&amp;$A$5</f>
        <v>EE</v>
      </c>
      <c r="S401" s="134" t="str">
        <f>$A$8&amp;$A$8</f>
        <v>TT</v>
      </c>
      <c r="T401" s="134" t="str">
        <f>$A$6&amp;$A$6</f>
        <v>YY</v>
      </c>
      <c r="U401" s="134" t="str">
        <f>$A$7&amp;$A$7</f>
        <v>RR</v>
      </c>
    </row>
    <row r="402" spans="1:21" ht="12">
      <c r="A402" s="132" t="s">
        <v>801</v>
      </c>
      <c r="B402" s="133">
        <v>2</v>
      </c>
      <c r="C402" s="134" t="str">
        <f>$A$7</f>
        <v>R</v>
      </c>
      <c r="D402" s="134" t="str">
        <f>$A$5</f>
        <v>E</v>
      </c>
      <c r="E402" s="134" t="str">
        <f>$A$8</f>
        <v>T</v>
      </c>
      <c r="F402" s="134" t="str">
        <f>$A$6</f>
        <v>Y</v>
      </c>
      <c r="G402" s="134" t="str">
        <f>$A$7&amp;$A$7</f>
        <v>RR</v>
      </c>
      <c r="H402" s="134" t="str">
        <f>$A$5&amp;$A$5</f>
        <v>EE</v>
      </c>
      <c r="I402" s="134" t="str">
        <f>$A$8&amp;$A$8</f>
        <v>TT</v>
      </c>
      <c r="J402" s="134" t="str">
        <f>$A$6&amp;$A$6</f>
        <v>YY</v>
      </c>
      <c r="L402" s="132" t="s">
        <v>801</v>
      </c>
      <c r="M402" s="133">
        <v>2</v>
      </c>
      <c r="N402" s="134" t="str">
        <f>$A$8</f>
        <v>T</v>
      </c>
      <c r="O402" s="134" t="str">
        <f>$A$7</f>
        <v>R</v>
      </c>
      <c r="P402" s="134" t="str">
        <f>$A$6</f>
        <v>Y</v>
      </c>
      <c r="Q402" s="134" t="str">
        <f>$A$5</f>
        <v>E</v>
      </c>
      <c r="R402" s="134" t="str">
        <f>$A$8&amp;$A$8</f>
        <v>TT</v>
      </c>
      <c r="S402" s="134" t="str">
        <f>$A$7&amp;$A$7</f>
        <v>RR</v>
      </c>
      <c r="T402" s="134" t="str">
        <f>$A$6&amp;$A$6</f>
        <v>YY</v>
      </c>
      <c r="U402" s="134" t="str">
        <f>$A$5&amp;$A$5</f>
        <v>EE</v>
      </c>
    </row>
    <row r="403" spans="1:21" ht="12">
      <c r="A403" s="132" t="s">
        <v>801</v>
      </c>
      <c r="B403" s="135">
        <v>3</v>
      </c>
      <c r="C403" s="134" t="str">
        <f>$A$8</f>
        <v>T</v>
      </c>
      <c r="D403" s="134" t="str">
        <f>$A$5</f>
        <v>E</v>
      </c>
      <c r="E403" s="134" t="str">
        <f>$A$7</f>
        <v>R</v>
      </c>
      <c r="F403" s="134" t="str">
        <f>$A$6</f>
        <v>Y</v>
      </c>
      <c r="G403" s="134" t="str">
        <f>$A$8&amp;$A$8</f>
        <v>TT</v>
      </c>
      <c r="H403" s="134" t="str">
        <f>$A$5&amp;$A$5</f>
        <v>EE</v>
      </c>
      <c r="I403" s="134" t="str">
        <f>$A$7&amp;$A$7</f>
        <v>RR</v>
      </c>
      <c r="J403" s="134" t="str">
        <f>$A$6&amp;$A$6</f>
        <v>YY</v>
      </c>
      <c r="L403" s="132" t="s">
        <v>801</v>
      </c>
      <c r="M403" s="133">
        <v>3</v>
      </c>
      <c r="N403" s="134" t="str">
        <f>$A$7</f>
        <v>R</v>
      </c>
      <c r="O403" s="134" t="str">
        <f>$A$6</f>
        <v>Y</v>
      </c>
      <c r="P403" s="134" t="str">
        <f>$A$5</f>
        <v>E</v>
      </c>
      <c r="Q403" s="134" t="str">
        <f>$A$8</f>
        <v>T</v>
      </c>
      <c r="R403" s="134" t="str">
        <f>$A$7&amp;$A$7</f>
        <v>RR</v>
      </c>
      <c r="S403" s="134" t="str">
        <f>$A$6&amp;$A$6</f>
        <v>YY</v>
      </c>
      <c r="T403" s="134" t="str">
        <f>$A$5&amp;$A$5</f>
        <v>EE</v>
      </c>
      <c r="U403" s="134" t="str">
        <f>$A$8&amp;$A$8</f>
        <v>TT</v>
      </c>
    </row>
    <row r="404" spans="1:21" ht="12">
      <c r="A404" s="132" t="s">
        <v>801</v>
      </c>
      <c r="B404" s="133">
        <v>4</v>
      </c>
      <c r="C404" s="134" t="str">
        <f>$A$5</f>
        <v>E</v>
      </c>
      <c r="D404" s="134" t="str">
        <f>$A$6</f>
        <v>Y</v>
      </c>
      <c r="E404" s="134" t="str">
        <f>$A$7</f>
        <v>R</v>
      </c>
      <c r="F404" s="134" t="str">
        <f>$A$8</f>
        <v>T</v>
      </c>
      <c r="G404" s="134" t="str">
        <f>$A$5&amp;$A$5</f>
        <v>EE</v>
      </c>
      <c r="H404" s="134" t="str">
        <f>$A$6&amp;$A$6</f>
        <v>YY</v>
      </c>
      <c r="I404" s="134" t="str">
        <f>$A$7&amp;$A$7</f>
        <v>RR</v>
      </c>
      <c r="J404" s="134" t="str">
        <f>$A$8&amp;$A$8</f>
        <v>TT</v>
      </c>
      <c r="L404" s="132" t="s">
        <v>801</v>
      </c>
      <c r="M404" s="133">
        <v>4</v>
      </c>
      <c r="N404" s="134" t="str">
        <f>$A$6</f>
        <v>Y</v>
      </c>
      <c r="O404" s="134" t="str">
        <f>$A$5</f>
        <v>E</v>
      </c>
      <c r="P404" s="134" t="str">
        <f>$A$8</f>
        <v>T</v>
      </c>
      <c r="Q404" s="134" t="str">
        <f>$A$7</f>
        <v>R</v>
      </c>
      <c r="R404" s="134" t="str">
        <f>$A$6&amp;$A$6</f>
        <v>YY</v>
      </c>
      <c r="S404" s="134" t="str">
        <f>$A$5&amp;$A$5</f>
        <v>EE</v>
      </c>
      <c r="T404" s="134" t="str">
        <f>$A$8&amp;$A$8</f>
        <v>TT</v>
      </c>
      <c r="U404" s="134" t="str">
        <f>$A$7&amp;$A$7</f>
        <v>RR</v>
      </c>
    </row>
    <row r="405" spans="1:21" ht="12">
      <c r="A405" s="132" t="s">
        <v>801</v>
      </c>
      <c r="B405" s="133">
        <v>5</v>
      </c>
      <c r="C405" s="134" t="str">
        <f>$A$6</f>
        <v>Y</v>
      </c>
      <c r="D405" s="134" t="str">
        <f>$A$8</f>
        <v>T</v>
      </c>
      <c r="E405" s="134" t="str">
        <f>$A$7</f>
        <v>R</v>
      </c>
      <c r="F405" s="134" t="str">
        <f>$A$5</f>
        <v>E</v>
      </c>
      <c r="G405" s="134" t="str">
        <f>$A$6&amp;$A$6</f>
        <v>YY</v>
      </c>
      <c r="H405" s="134" t="str">
        <f>$A$8&amp;$A$8</f>
        <v>TT</v>
      </c>
      <c r="I405" s="134" t="str">
        <f>$A$7&amp;$A$7</f>
        <v>RR</v>
      </c>
      <c r="J405" s="134" t="str">
        <f>$A$5&amp;$A$5</f>
        <v>EE</v>
      </c>
      <c r="L405" s="132" t="s">
        <v>801</v>
      </c>
      <c r="M405" s="133">
        <v>5</v>
      </c>
      <c r="N405" s="134" t="str">
        <f>$A$5</f>
        <v>E</v>
      </c>
      <c r="O405" s="134" t="str">
        <f>$A$6</f>
        <v>Y</v>
      </c>
      <c r="P405" s="134" t="str">
        <f>$A$8</f>
        <v>T</v>
      </c>
      <c r="Q405" s="134" t="str">
        <f>$A$7</f>
        <v>R</v>
      </c>
      <c r="R405" s="134" t="str">
        <f>$A$5&amp;$A$5</f>
        <v>EE</v>
      </c>
      <c r="S405" s="134" t="str">
        <f>$A$6&amp;$A$6</f>
        <v>YY</v>
      </c>
      <c r="T405" s="134" t="str">
        <f>$A$8&amp;$A$8</f>
        <v>TT</v>
      </c>
      <c r="U405" s="134" t="str">
        <f>$A$7&amp;$A$7</f>
        <v>RR</v>
      </c>
    </row>
    <row r="406" spans="1:21" ht="12">
      <c r="A406" s="132" t="s">
        <v>802</v>
      </c>
      <c r="B406" s="133">
        <v>1</v>
      </c>
      <c r="C406" s="134" t="str">
        <f>$A$8</f>
        <v>T</v>
      </c>
      <c r="D406" s="134" t="str">
        <f>$A$6</f>
        <v>Y</v>
      </c>
      <c r="E406" s="134" t="str">
        <f>$A$5</f>
        <v>E</v>
      </c>
      <c r="F406" s="134" t="str">
        <f>$A$7</f>
        <v>R</v>
      </c>
      <c r="G406" s="134" t="str">
        <f>$A$8&amp;$A$8</f>
        <v>TT</v>
      </c>
      <c r="H406" s="134" t="str">
        <f>$A$6&amp;$A$6</f>
        <v>YY</v>
      </c>
      <c r="I406" s="134" t="str">
        <f>$A$5&amp;$A$5</f>
        <v>EE</v>
      </c>
      <c r="J406" s="134" t="str">
        <f>$A$7&amp;$A$7</f>
        <v>RR</v>
      </c>
      <c r="L406" s="132" t="s">
        <v>802</v>
      </c>
      <c r="M406" s="133">
        <v>1</v>
      </c>
      <c r="N406" s="134" t="str">
        <f>$A$7</f>
        <v>R</v>
      </c>
      <c r="O406" s="134" t="str">
        <f>$A$8</f>
        <v>T</v>
      </c>
      <c r="P406" s="134" t="str">
        <f>$A$6</f>
        <v>Y</v>
      </c>
      <c r="Q406" s="134" t="str">
        <f>$A$5</f>
        <v>E</v>
      </c>
      <c r="R406" s="134" t="str">
        <f>$A$7&amp;$A$7</f>
        <v>RR</v>
      </c>
      <c r="S406" s="134" t="str">
        <f>$A$8&amp;$A$8</f>
        <v>TT</v>
      </c>
      <c r="T406" s="134" t="str">
        <f>$A$6&amp;$A$6</f>
        <v>YY</v>
      </c>
      <c r="U406" s="134" t="str">
        <f>$A$5&amp;$A$5</f>
        <v>EE</v>
      </c>
    </row>
    <row r="407" spans="1:21" ht="12">
      <c r="A407" s="132" t="s">
        <v>802</v>
      </c>
      <c r="B407" s="133">
        <v>2</v>
      </c>
      <c r="C407" s="134" t="str">
        <f>$A$5</f>
        <v>E</v>
      </c>
      <c r="D407" s="134" t="str">
        <f>$A$7</f>
        <v>R</v>
      </c>
      <c r="E407" s="134" t="str">
        <f>$A$8</f>
        <v>T</v>
      </c>
      <c r="F407" s="134" t="str">
        <f>$A$6</f>
        <v>Y</v>
      </c>
      <c r="G407" s="134" t="str">
        <f>$A$5&amp;$A$5</f>
        <v>EE</v>
      </c>
      <c r="H407" s="134" t="str">
        <f>$A$7&amp;$A$7</f>
        <v>RR</v>
      </c>
      <c r="I407" s="134" t="str">
        <f>$A$8&amp;$A$8</f>
        <v>TT</v>
      </c>
      <c r="J407" s="134" t="str">
        <f>$A$6&amp;$A$6</f>
        <v>YY</v>
      </c>
      <c r="L407" s="132" t="s">
        <v>802</v>
      </c>
      <c r="M407" s="133">
        <v>2</v>
      </c>
      <c r="N407" s="134" t="str">
        <f>$A$5</f>
        <v>E</v>
      </c>
      <c r="O407" s="134" t="str">
        <f>$A$7</f>
        <v>R</v>
      </c>
      <c r="P407" s="134" t="str">
        <f>$A$8</f>
        <v>T</v>
      </c>
      <c r="Q407" s="134" t="str">
        <f>$A$6</f>
        <v>Y</v>
      </c>
      <c r="R407" s="134" t="str">
        <f>$A$5&amp;$A$5</f>
        <v>EE</v>
      </c>
      <c r="S407" s="134" t="str">
        <f>$A$7&amp;$A$7</f>
        <v>RR</v>
      </c>
      <c r="T407" s="134" t="str">
        <f>$A$8&amp;$A$8</f>
        <v>TT</v>
      </c>
      <c r="U407" s="134" t="str">
        <f>$A$6&amp;$A$6</f>
        <v>YY</v>
      </c>
    </row>
    <row r="408" spans="1:21" ht="12">
      <c r="A408" s="132" t="s">
        <v>802</v>
      </c>
      <c r="B408" s="133">
        <v>3</v>
      </c>
      <c r="C408" s="134" t="str">
        <f>$A$7</f>
        <v>R</v>
      </c>
      <c r="D408" s="134" t="str">
        <f>$A$5</f>
        <v>E</v>
      </c>
      <c r="E408" s="134" t="str">
        <f>$A$8</f>
        <v>T</v>
      </c>
      <c r="F408" s="134" t="str">
        <f>$A$6</f>
        <v>Y</v>
      </c>
      <c r="G408" s="134" t="str">
        <f>$A$7&amp;$A$7</f>
        <v>RR</v>
      </c>
      <c r="H408" s="134" t="str">
        <f>$A$5&amp;$A$5</f>
        <v>EE</v>
      </c>
      <c r="I408" s="134" t="str">
        <f>$A$8&amp;$A$8</f>
        <v>TT</v>
      </c>
      <c r="J408" s="134" t="str">
        <f>$A$6&amp;$A$6</f>
        <v>YY</v>
      </c>
      <c r="L408" s="132" t="s">
        <v>802</v>
      </c>
      <c r="M408" s="133">
        <v>3</v>
      </c>
      <c r="N408" s="134" t="str">
        <f>$A$8</f>
        <v>T</v>
      </c>
      <c r="O408" s="134" t="str">
        <f>$A$6</f>
        <v>Y</v>
      </c>
      <c r="P408" s="134" t="str">
        <f>$A$5</f>
        <v>E</v>
      </c>
      <c r="Q408" s="134" t="str">
        <f>$A$7</f>
        <v>R</v>
      </c>
      <c r="R408" s="134" t="str">
        <f>$A$8&amp;$A$8</f>
        <v>TT</v>
      </c>
      <c r="S408" s="134" t="str">
        <f>$A$6&amp;$A$6</f>
        <v>YY</v>
      </c>
      <c r="T408" s="134" t="str">
        <f>$A$5&amp;$A$5</f>
        <v>EE</v>
      </c>
      <c r="U408" s="134" t="str">
        <f>$A$7&amp;$A$7</f>
        <v>RR</v>
      </c>
    </row>
    <row r="409" spans="1:21" ht="12">
      <c r="A409" s="132" t="s">
        <v>802</v>
      </c>
      <c r="B409" s="133">
        <v>4</v>
      </c>
      <c r="C409" s="134" t="str">
        <f>$A$6</f>
        <v>Y</v>
      </c>
      <c r="D409" s="134" t="str">
        <f>$A$7</f>
        <v>R</v>
      </c>
      <c r="E409" s="134" t="str">
        <f>$A$8</f>
        <v>T</v>
      </c>
      <c r="F409" s="134" t="str">
        <f>$A$5</f>
        <v>E</v>
      </c>
      <c r="G409" s="134" t="str">
        <f>$A$6&amp;$A$6</f>
        <v>YY</v>
      </c>
      <c r="H409" s="134" t="str">
        <f>$A$7&amp;$A$7</f>
        <v>RR</v>
      </c>
      <c r="I409" s="134" t="str">
        <f>$A$8&amp;$A$8</f>
        <v>TT</v>
      </c>
      <c r="J409" s="134" t="str">
        <f>$A$5&amp;$A$5</f>
        <v>EE</v>
      </c>
      <c r="L409" s="132" t="s">
        <v>802</v>
      </c>
      <c r="M409" s="133">
        <v>4</v>
      </c>
      <c r="N409" s="134" t="str">
        <f>$A$6</f>
        <v>Y</v>
      </c>
      <c r="O409" s="134" t="str">
        <f>$A$7</f>
        <v>R</v>
      </c>
      <c r="P409" s="134" t="str">
        <f>$A$8</f>
        <v>T</v>
      </c>
      <c r="Q409" s="134" t="str">
        <f>$A$5</f>
        <v>E</v>
      </c>
      <c r="R409" s="134" t="str">
        <f>$A$6&amp;$A$6</f>
        <v>YY</v>
      </c>
      <c r="S409" s="134" t="str">
        <f>$A$7&amp;$A$7</f>
        <v>RR</v>
      </c>
      <c r="T409" s="134" t="str">
        <f>$A$8&amp;$A$8</f>
        <v>TT</v>
      </c>
      <c r="U409" s="134" t="str">
        <f>$A$5&amp;$A$5</f>
        <v>EE</v>
      </c>
    </row>
    <row r="410" spans="1:21" ht="12">
      <c r="A410" s="132" t="s">
        <v>802</v>
      </c>
      <c r="B410" s="133">
        <v>5</v>
      </c>
      <c r="C410" s="134" t="str">
        <f>$A$8</f>
        <v>T</v>
      </c>
      <c r="D410" s="134" t="str">
        <f>$A$5</f>
        <v>E</v>
      </c>
      <c r="E410" s="134" t="str">
        <f>$A$6</f>
        <v>Y</v>
      </c>
      <c r="F410" s="134" t="str">
        <f>$A$7</f>
        <v>R</v>
      </c>
      <c r="G410" s="134" t="str">
        <f>$A$8&amp;$A$8</f>
        <v>TT</v>
      </c>
      <c r="H410" s="134" t="str">
        <f>$A$5&amp;$A$5</f>
        <v>EE</v>
      </c>
      <c r="I410" s="134" t="str">
        <f>$A$6&amp;$A$6</f>
        <v>YY</v>
      </c>
      <c r="J410" s="134" t="str">
        <f>$A$7&amp;$A$7</f>
        <v>RR</v>
      </c>
      <c r="L410" s="132" t="s">
        <v>802</v>
      </c>
      <c r="M410" s="133">
        <v>5</v>
      </c>
      <c r="N410" s="134" t="str">
        <f>$A$7</f>
        <v>R</v>
      </c>
      <c r="O410" s="134" t="str">
        <f>$A$6</f>
        <v>Y</v>
      </c>
      <c r="P410" s="134" t="str">
        <f>$A$8</f>
        <v>T</v>
      </c>
      <c r="Q410" s="134" t="str">
        <f>$A$5</f>
        <v>E</v>
      </c>
      <c r="R410" s="134" t="str">
        <f>$A$7&amp;$A$7</f>
        <v>RR</v>
      </c>
      <c r="S410" s="134" t="str">
        <f>$A$6&amp;$A$6</f>
        <v>YY</v>
      </c>
      <c r="T410" s="134" t="str">
        <f>$A$8&amp;$A$8</f>
        <v>TT</v>
      </c>
      <c r="U410" s="134" t="str">
        <f>$A$5&amp;$A$5</f>
        <v>EE</v>
      </c>
    </row>
    <row r="411" spans="1:21" ht="12">
      <c r="A411" s="132" t="s">
        <v>803</v>
      </c>
      <c r="B411" s="133">
        <v>1</v>
      </c>
      <c r="C411" s="134" t="str">
        <f>$A$6</f>
        <v>Y</v>
      </c>
      <c r="D411" s="134" t="str">
        <f>$A$5</f>
        <v>E</v>
      </c>
      <c r="E411" s="134" t="str">
        <f>$A$8</f>
        <v>T</v>
      </c>
      <c r="F411" s="134" t="str">
        <f>$A$7</f>
        <v>R</v>
      </c>
      <c r="G411" s="134" t="str">
        <f>$A$6&amp;$A$6</f>
        <v>YY</v>
      </c>
      <c r="H411" s="134" t="str">
        <f>$A$5&amp;$A$5</f>
        <v>EE</v>
      </c>
      <c r="I411" s="134" t="str">
        <f>$A$8&amp;$A$8</f>
        <v>TT</v>
      </c>
      <c r="J411" s="134" t="str">
        <f>$A$7&amp;$A$7</f>
        <v>RR</v>
      </c>
      <c r="L411" s="132" t="s">
        <v>803</v>
      </c>
      <c r="M411" s="133">
        <v>1</v>
      </c>
      <c r="N411" s="134" t="str">
        <f>$A$7</f>
        <v>R</v>
      </c>
      <c r="O411" s="134" t="str">
        <f>$A$5</f>
        <v>E</v>
      </c>
      <c r="P411" s="134" t="str">
        <f>$A$8</f>
        <v>T</v>
      </c>
      <c r="Q411" s="134" t="str">
        <f>$A$6</f>
        <v>Y</v>
      </c>
      <c r="R411" s="134" t="str">
        <f>$A$7&amp;$A$7</f>
        <v>RR</v>
      </c>
      <c r="S411" s="134" t="str">
        <f>$A$5&amp;$A$5</f>
        <v>EE</v>
      </c>
      <c r="T411" s="134" t="str">
        <f>$A$8&amp;$A$8</f>
        <v>TT</v>
      </c>
      <c r="U411" s="134" t="str">
        <f>$A$6&amp;$A$6</f>
        <v>YY</v>
      </c>
    </row>
    <row r="412" spans="1:21" ht="12">
      <c r="A412" s="132" t="s">
        <v>803</v>
      </c>
      <c r="B412" s="133">
        <v>2</v>
      </c>
      <c r="C412" s="134" t="str">
        <f>$A$7</f>
        <v>R</v>
      </c>
      <c r="D412" s="134" t="str">
        <f>$A$6</f>
        <v>Y</v>
      </c>
      <c r="E412" s="134" t="str">
        <f>$A$8</f>
        <v>T</v>
      </c>
      <c r="F412" s="134" t="str">
        <f>$A$5</f>
        <v>E</v>
      </c>
      <c r="G412" s="134" t="str">
        <f>$A$7&amp;$A$7</f>
        <v>RR</v>
      </c>
      <c r="H412" s="134" t="str">
        <f>$A$6&amp;$A$6</f>
        <v>YY</v>
      </c>
      <c r="I412" s="134" t="str">
        <f>$A$8&amp;$A$8</f>
        <v>TT</v>
      </c>
      <c r="J412" s="134" t="str">
        <f>$A$5&amp;$A$5</f>
        <v>EE</v>
      </c>
      <c r="L412" s="132" t="s">
        <v>803</v>
      </c>
      <c r="M412" s="133">
        <v>2</v>
      </c>
      <c r="N412" s="134" t="str">
        <f>$A$5</f>
        <v>E</v>
      </c>
      <c r="O412" s="134" t="str">
        <f>$A$8</f>
        <v>T</v>
      </c>
      <c r="P412" s="134" t="str">
        <f>$A$7</f>
        <v>R</v>
      </c>
      <c r="Q412" s="134" t="str">
        <f>$A$6</f>
        <v>Y</v>
      </c>
      <c r="R412" s="134" t="str">
        <f>$A$5&amp;$A$5</f>
        <v>EE</v>
      </c>
      <c r="S412" s="134" t="str">
        <f>$A$8&amp;$A$8</f>
        <v>TT</v>
      </c>
      <c r="T412" s="134" t="str">
        <f>$A$7&amp;$A$7</f>
        <v>RR</v>
      </c>
      <c r="U412" s="134" t="str">
        <f>$A$6&amp;$A$6</f>
        <v>YY</v>
      </c>
    </row>
    <row r="413" spans="1:21" ht="12">
      <c r="A413" s="132" t="s">
        <v>803</v>
      </c>
      <c r="B413" s="133">
        <v>3</v>
      </c>
      <c r="C413" s="134" t="str">
        <f>$A$8</f>
        <v>T</v>
      </c>
      <c r="D413" s="134" t="str">
        <f>$A$7</f>
        <v>R</v>
      </c>
      <c r="E413" s="134" t="str">
        <f>$A$5</f>
        <v>E</v>
      </c>
      <c r="F413" s="134" t="str">
        <f>$A$6</f>
        <v>Y</v>
      </c>
      <c r="G413" s="134" t="str">
        <f>$A$8&amp;$A$8</f>
        <v>TT</v>
      </c>
      <c r="H413" s="134" t="str">
        <f>$A$7&amp;$A$7</f>
        <v>RR</v>
      </c>
      <c r="I413" s="134" t="str">
        <f>$A$5&amp;$A$5</f>
        <v>EE</v>
      </c>
      <c r="J413" s="134" t="str">
        <f>$A$6&amp;$A$6</f>
        <v>YY</v>
      </c>
      <c r="L413" s="132" t="s">
        <v>803</v>
      </c>
      <c r="M413" s="133">
        <v>3</v>
      </c>
      <c r="N413" s="134" t="str">
        <f>$A$8</f>
        <v>T</v>
      </c>
      <c r="O413" s="134" t="str">
        <f>$A$7</f>
        <v>R</v>
      </c>
      <c r="P413" s="134" t="str">
        <f>$A$5</f>
        <v>E</v>
      </c>
      <c r="Q413" s="134" t="str">
        <f>$A$6</f>
        <v>Y</v>
      </c>
      <c r="R413" s="134" t="str">
        <f>$A$8&amp;$A$8</f>
        <v>TT</v>
      </c>
      <c r="S413" s="134" t="str">
        <f>$A$7&amp;$A$7</f>
        <v>RR</v>
      </c>
      <c r="T413" s="134" t="str">
        <f>$A$5&amp;$A$5</f>
        <v>EE</v>
      </c>
      <c r="U413" s="134" t="str">
        <f>$A$6&amp;$A$6</f>
        <v>YY</v>
      </c>
    </row>
    <row r="414" spans="1:21" ht="12">
      <c r="A414" s="132" t="s">
        <v>803</v>
      </c>
      <c r="B414" s="133">
        <v>4</v>
      </c>
      <c r="C414" s="134" t="str">
        <f>$A$5</f>
        <v>E</v>
      </c>
      <c r="D414" s="134" t="str">
        <f>$A$7</f>
        <v>R</v>
      </c>
      <c r="E414" s="134" t="str">
        <f>$A$6</f>
        <v>Y</v>
      </c>
      <c r="F414" s="134" t="str">
        <f>$A$8</f>
        <v>T</v>
      </c>
      <c r="G414" s="134" t="str">
        <f>$A$5&amp;$A$5</f>
        <v>EE</v>
      </c>
      <c r="H414" s="134" t="str">
        <f>$A$7&amp;$A$7</f>
        <v>RR</v>
      </c>
      <c r="I414" s="134" t="str">
        <f>$A$6&amp;$A$6</f>
        <v>YY</v>
      </c>
      <c r="J414" s="134" t="str">
        <f>$A$8&amp;$A$8</f>
        <v>TT</v>
      </c>
      <c r="L414" s="132" t="s">
        <v>803</v>
      </c>
      <c r="M414" s="133">
        <v>4</v>
      </c>
      <c r="N414" s="134" t="str">
        <f>$A$6</f>
        <v>Y</v>
      </c>
      <c r="O414" s="134" t="str">
        <f>$A$7</f>
        <v>R</v>
      </c>
      <c r="P414" s="134" t="str">
        <f>$A$5</f>
        <v>E</v>
      </c>
      <c r="Q414" s="134" t="str">
        <f>$A$8</f>
        <v>T</v>
      </c>
      <c r="R414" s="134" t="str">
        <f>$A$6&amp;$A$6</f>
        <v>YY</v>
      </c>
      <c r="S414" s="134" t="str">
        <f>$A$7&amp;$A$7</f>
        <v>RR</v>
      </c>
      <c r="T414" s="134" t="str">
        <f>$A$5&amp;$A$5</f>
        <v>EE</v>
      </c>
      <c r="U414" s="134" t="str">
        <f>$A$8&amp;$A$8</f>
        <v>TT</v>
      </c>
    </row>
    <row r="415" spans="1:21" ht="12">
      <c r="A415" s="132" t="s">
        <v>803</v>
      </c>
      <c r="B415" s="133">
        <v>5</v>
      </c>
      <c r="C415" s="134" t="str">
        <f>$A$6</f>
        <v>Y</v>
      </c>
      <c r="D415" s="134" t="str">
        <f>$A$8</f>
        <v>T</v>
      </c>
      <c r="E415" s="134" t="str">
        <f>$A$5</f>
        <v>E</v>
      </c>
      <c r="F415" s="134" t="str">
        <f>$A$7</f>
        <v>R</v>
      </c>
      <c r="G415" s="134" t="str">
        <f>$A$6&amp;$A$6</f>
        <v>YY</v>
      </c>
      <c r="H415" s="134" t="str">
        <f>$A$8&amp;$A$8</f>
        <v>TT</v>
      </c>
      <c r="I415" s="134" t="str">
        <f>$A$5&amp;$A$5</f>
        <v>EE</v>
      </c>
      <c r="J415" s="134" t="str">
        <f>$A$7&amp;$A$7</f>
        <v>RR</v>
      </c>
      <c r="L415" s="132" t="s">
        <v>803</v>
      </c>
      <c r="M415" s="133">
        <v>5</v>
      </c>
      <c r="N415" s="134" t="str">
        <f>$A$7</f>
        <v>R</v>
      </c>
      <c r="O415" s="134" t="str">
        <f>$A$5</f>
        <v>E</v>
      </c>
      <c r="P415" s="134" t="str">
        <f>$A$6</f>
        <v>Y</v>
      </c>
      <c r="Q415" s="134" t="str">
        <f>$A$8</f>
        <v>T</v>
      </c>
      <c r="R415" s="134" t="str">
        <f>$A$7&amp;$A$7</f>
        <v>RR</v>
      </c>
      <c r="S415" s="134" t="str">
        <f>$A$5&amp;$A$5</f>
        <v>EE</v>
      </c>
      <c r="T415" s="134" t="str">
        <f>$A$6&amp;$A$6</f>
        <v>YY</v>
      </c>
      <c r="U415" s="134" t="str">
        <f>$A$8&amp;$A$8</f>
        <v>TT</v>
      </c>
    </row>
    <row r="416" spans="1:21" ht="12">
      <c r="A416" s="132" t="s">
        <v>804</v>
      </c>
      <c r="B416" s="133">
        <v>1</v>
      </c>
      <c r="C416" s="134" t="str">
        <f>$A$6</f>
        <v>Y</v>
      </c>
      <c r="D416" s="134" t="str">
        <f>$A$5</f>
        <v>E</v>
      </c>
      <c r="E416" s="134" t="str">
        <f>$A$7</f>
        <v>R</v>
      </c>
      <c r="F416" s="134" t="str">
        <f>$A$8</f>
        <v>T</v>
      </c>
      <c r="G416" s="134" t="str">
        <f>$A$6&amp;$A$6</f>
        <v>YY</v>
      </c>
      <c r="H416" s="134" t="str">
        <f>$A$5&amp;$A$5</f>
        <v>EE</v>
      </c>
      <c r="I416" s="134" t="str">
        <f>$A$7&amp;$A$7</f>
        <v>RR</v>
      </c>
      <c r="J416" s="134" t="str">
        <f>$A$8&amp;$A$8</f>
        <v>TT</v>
      </c>
      <c r="L416" s="132" t="s">
        <v>804</v>
      </c>
      <c r="M416" s="133">
        <v>1</v>
      </c>
      <c r="N416" s="134" t="str">
        <f>$A$8</f>
        <v>T</v>
      </c>
      <c r="O416" s="134" t="str">
        <f>$A$6</f>
        <v>Y</v>
      </c>
      <c r="P416" s="134" t="str">
        <f>$A$5</f>
        <v>E</v>
      </c>
      <c r="Q416" s="134" t="str">
        <f>$A$7</f>
        <v>R</v>
      </c>
      <c r="R416" s="134" t="str">
        <f>$A$8&amp;$A$8</f>
        <v>TT</v>
      </c>
      <c r="S416" s="134" t="str">
        <f>$A$6&amp;$A$6</f>
        <v>YY</v>
      </c>
      <c r="T416" s="134" t="str">
        <f>$A$5&amp;$A$5</f>
        <v>EE</v>
      </c>
      <c r="U416" s="134" t="str">
        <f>$A$7&amp;$A$7</f>
        <v>RR</v>
      </c>
    </row>
    <row r="417" spans="1:21" ht="12">
      <c r="A417" s="132" t="s">
        <v>804</v>
      </c>
      <c r="B417" s="133">
        <v>2</v>
      </c>
      <c r="C417" s="134" t="str">
        <f>$A$8</f>
        <v>T</v>
      </c>
      <c r="D417" s="134" t="str">
        <f>$A$7</f>
        <v>R</v>
      </c>
      <c r="E417" s="134" t="str">
        <f>$A$6</f>
        <v>Y</v>
      </c>
      <c r="F417" s="134" t="str">
        <f>$A$5</f>
        <v>E</v>
      </c>
      <c r="G417" s="134" t="str">
        <f>$A$8&amp;$A$8</f>
        <v>TT</v>
      </c>
      <c r="H417" s="134" t="str">
        <f>$A$7&amp;$A$7</f>
        <v>RR</v>
      </c>
      <c r="I417" s="134" t="str">
        <f>$A$6&amp;$A$6</f>
        <v>YY</v>
      </c>
      <c r="J417" s="134" t="str">
        <f>$A$5&amp;$A$5</f>
        <v>EE</v>
      </c>
      <c r="L417" s="132" t="s">
        <v>804</v>
      </c>
      <c r="M417" s="133">
        <v>2</v>
      </c>
      <c r="N417" s="134" t="str">
        <f>$A$5</f>
        <v>E</v>
      </c>
      <c r="O417" s="134" t="str">
        <f>$A$6</f>
        <v>Y</v>
      </c>
      <c r="P417" s="134" t="str">
        <f>$A$7</f>
        <v>R</v>
      </c>
      <c r="Q417" s="134" t="str">
        <f>$A$8</f>
        <v>T</v>
      </c>
      <c r="R417" s="134" t="str">
        <f>$A$5&amp;$A$5</f>
        <v>EE</v>
      </c>
      <c r="S417" s="134" t="str">
        <f>$A$6&amp;$A$6</f>
        <v>YY</v>
      </c>
      <c r="T417" s="134" t="str">
        <f>$A$7&amp;$A$7</f>
        <v>RR</v>
      </c>
      <c r="U417" s="134" t="str">
        <f>$A$8&amp;$A$8</f>
        <v>TT</v>
      </c>
    </row>
    <row r="418" spans="1:21" ht="12">
      <c r="A418" s="132" t="s">
        <v>804</v>
      </c>
      <c r="B418" s="133">
        <v>3</v>
      </c>
      <c r="C418" s="134" t="str">
        <f>$A$5</f>
        <v>E</v>
      </c>
      <c r="D418" s="134" t="str">
        <f>$A$7</f>
        <v>R</v>
      </c>
      <c r="E418" s="134" t="str">
        <f>$A$6</f>
        <v>Y</v>
      </c>
      <c r="F418" s="134" t="str">
        <f>$A$8</f>
        <v>T</v>
      </c>
      <c r="G418" s="134" t="str">
        <f>$A$5&amp;$A$5</f>
        <v>EE</v>
      </c>
      <c r="H418" s="134" t="str">
        <f>$A$7&amp;$A$7</f>
        <v>RR</v>
      </c>
      <c r="I418" s="134" t="str">
        <f>$A$6&amp;$A$6</f>
        <v>YY</v>
      </c>
      <c r="J418" s="134" t="str">
        <f>$A$8&amp;$A$8</f>
        <v>TT</v>
      </c>
      <c r="L418" s="132" t="s">
        <v>804</v>
      </c>
      <c r="M418" s="133">
        <v>3</v>
      </c>
      <c r="N418" s="134" t="str">
        <f>$A$6</f>
        <v>Y</v>
      </c>
      <c r="O418" s="134" t="str">
        <f>$A$8</f>
        <v>T</v>
      </c>
      <c r="P418" s="134" t="str">
        <f>$A$7</f>
        <v>R</v>
      </c>
      <c r="Q418" s="134" t="str">
        <f>$A$5</f>
        <v>E</v>
      </c>
      <c r="R418" s="134" t="str">
        <f>$A$6&amp;$A$6</f>
        <v>YY</v>
      </c>
      <c r="S418" s="134" t="str">
        <f>$A$8&amp;$A$8</f>
        <v>TT</v>
      </c>
      <c r="T418" s="134" t="str">
        <f>$A$7&amp;$A$7</f>
        <v>RR</v>
      </c>
      <c r="U418" s="134" t="str">
        <f>$A$5&amp;$A$5</f>
        <v>EE</v>
      </c>
    </row>
    <row r="419" spans="1:21" ht="12">
      <c r="A419" s="132" t="s">
        <v>804</v>
      </c>
      <c r="B419" s="133">
        <v>4</v>
      </c>
      <c r="C419" s="134" t="str">
        <f>$A$6</f>
        <v>Y</v>
      </c>
      <c r="D419" s="134" t="str">
        <f>$A$8</f>
        <v>T</v>
      </c>
      <c r="E419" s="134" t="str">
        <f>$A$5</f>
        <v>E</v>
      </c>
      <c r="F419" s="134" t="str">
        <f>$A$7</f>
        <v>R</v>
      </c>
      <c r="G419" s="134" t="str">
        <f>$A$6&amp;$A$6</f>
        <v>YY</v>
      </c>
      <c r="H419" s="134" t="str">
        <f>$A$8&amp;$A$8</f>
        <v>TT</v>
      </c>
      <c r="I419" s="134" t="str">
        <f>$A$5&amp;$A$5</f>
        <v>EE</v>
      </c>
      <c r="J419" s="134" t="str">
        <f>$A$7&amp;$A$7</f>
        <v>RR</v>
      </c>
      <c r="L419" s="132" t="s">
        <v>804</v>
      </c>
      <c r="M419" s="133">
        <v>4</v>
      </c>
      <c r="N419" s="134" t="str">
        <f>$A$8</f>
        <v>T</v>
      </c>
      <c r="O419" s="134" t="str">
        <f>$A$5</f>
        <v>E</v>
      </c>
      <c r="P419" s="134" t="str">
        <f>$A$6</f>
        <v>Y</v>
      </c>
      <c r="Q419" s="134" t="str">
        <f>$A$7</f>
        <v>R</v>
      </c>
      <c r="R419" s="134" t="str">
        <f>$A$8&amp;$A$8</f>
        <v>TT</v>
      </c>
      <c r="S419" s="134" t="str">
        <f>$A$5&amp;$A$5</f>
        <v>EE</v>
      </c>
      <c r="T419" s="134" t="str">
        <f>$A$6&amp;$A$6</f>
        <v>YY</v>
      </c>
      <c r="U419" s="134" t="str">
        <f>$A$7&amp;$A$7</f>
        <v>RR</v>
      </c>
    </row>
    <row r="420" spans="1:21" ht="12">
      <c r="A420" s="132" t="s">
        <v>804</v>
      </c>
      <c r="B420" s="135">
        <v>5</v>
      </c>
      <c r="C420" s="134" t="str">
        <f>$A$7</f>
        <v>R</v>
      </c>
      <c r="D420" s="134" t="str">
        <f>$A$8</f>
        <v>T</v>
      </c>
      <c r="E420" s="134" t="str">
        <f>$A$6</f>
        <v>Y</v>
      </c>
      <c r="F420" s="134" t="str">
        <f>$A$5</f>
        <v>E</v>
      </c>
      <c r="G420" s="134" t="str">
        <f>$A$7&amp;$A$7</f>
        <v>RR</v>
      </c>
      <c r="H420" s="134" t="str">
        <f>$A$8&amp;$A$8</f>
        <v>TT</v>
      </c>
      <c r="I420" s="134" t="str">
        <f>$A$6&amp;$A$6</f>
        <v>YY</v>
      </c>
      <c r="J420" s="134" t="str">
        <f>$A$5&amp;$A$5</f>
        <v>EE</v>
      </c>
      <c r="L420" s="132" t="s">
        <v>804</v>
      </c>
      <c r="M420" s="135">
        <v>5</v>
      </c>
      <c r="N420" s="134" t="str">
        <f>$A$8</f>
        <v>T</v>
      </c>
      <c r="O420" s="134" t="str">
        <f>$A$6</f>
        <v>Y</v>
      </c>
      <c r="P420" s="134" t="str">
        <f>$A$5</f>
        <v>E</v>
      </c>
      <c r="Q420" s="134" t="str">
        <f>$A$7</f>
        <v>R</v>
      </c>
      <c r="R420" s="134" t="str">
        <f>$A$8&amp;$A$8</f>
        <v>TT</v>
      </c>
      <c r="S420" s="134" t="str">
        <f>$A$6&amp;$A$6</f>
        <v>YY</v>
      </c>
      <c r="T420" s="134" t="str">
        <f>$A$5&amp;$A$5</f>
        <v>EE</v>
      </c>
      <c r="U420" s="134" t="str">
        <f>$A$7&amp;$A$7</f>
        <v>RR</v>
      </c>
    </row>
    <row r="421" spans="1:21" ht="12">
      <c r="A421" s="132" t="s">
        <v>805</v>
      </c>
      <c r="B421" s="133">
        <v>1</v>
      </c>
      <c r="C421" s="134" t="str">
        <f>$A$5</f>
        <v>E</v>
      </c>
      <c r="D421" s="134" t="str">
        <f>$A$8</f>
        <v>T</v>
      </c>
      <c r="E421" s="134" t="str">
        <f>$A$6</f>
        <v>Y</v>
      </c>
      <c r="F421" s="134" t="str">
        <f>$A$7</f>
        <v>R</v>
      </c>
      <c r="G421" s="134" t="str">
        <f>$A$5&amp;$A$5</f>
        <v>EE</v>
      </c>
      <c r="H421" s="134" t="str">
        <f>$A$8&amp;$A$8</f>
        <v>TT</v>
      </c>
      <c r="I421" s="134" t="str">
        <f>$A$6&amp;$A$6</f>
        <v>YY</v>
      </c>
      <c r="J421" s="134" t="str">
        <f>$A$7&amp;$A$7</f>
        <v>RR</v>
      </c>
      <c r="L421" s="132" t="s">
        <v>805</v>
      </c>
      <c r="M421" s="133">
        <v>1</v>
      </c>
      <c r="N421" s="134" t="str">
        <f>$A$7</f>
        <v>R</v>
      </c>
      <c r="O421" s="134" t="str">
        <f>$A$6</f>
        <v>Y</v>
      </c>
      <c r="P421" s="134" t="str">
        <f>$A$8</f>
        <v>T</v>
      </c>
      <c r="Q421" s="134" t="str">
        <f>$A$5</f>
        <v>E</v>
      </c>
      <c r="R421" s="134" t="str">
        <f>$A$7&amp;$A$7</f>
        <v>RR</v>
      </c>
      <c r="S421" s="134" t="str">
        <f>$A$6&amp;$A$6</f>
        <v>YY</v>
      </c>
      <c r="T421" s="134" t="str">
        <f>$A$8&amp;$A$8</f>
        <v>TT</v>
      </c>
      <c r="U421" s="134" t="str">
        <f>$A$5&amp;$A$5</f>
        <v>EE</v>
      </c>
    </row>
    <row r="422" spans="1:21" ht="12">
      <c r="A422" s="132" t="s">
        <v>805</v>
      </c>
      <c r="B422" s="133">
        <v>2</v>
      </c>
      <c r="C422" s="134" t="str">
        <f>$A$7</f>
        <v>R</v>
      </c>
      <c r="D422" s="134" t="str">
        <f>$A$8</f>
        <v>T</v>
      </c>
      <c r="E422" s="134" t="str">
        <f>$A$6</f>
        <v>Y</v>
      </c>
      <c r="F422" s="134" t="str">
        <f>$A$5</f>
        <v>E</v>
      </c>
      <c r="G422" s="134" t="str">
        <f>$A$7&amp;$A$7</f>
        <v>RR</v>
      </c>
      <c r="H422" s="134" t="str">
        <f>$A$8&amp;$A$8</f>
        <v>TT</v>
      </c>
      <c r="I422" s="134" t="str">
        <f>$A$6&amp;$A$6</f>
        <v>YY</v>
      </c>
      <c r="J422" s="134" t="str">
        <f>$A$5&amp;$A$5</f>
        <v>EE</v>
      </c>
      <c r="L422" s="132" t="s">
        <v>805</v>
      </c>
      <c r="M422" s="133">
        <v>2</v>
      </c>
      <c r="N422" s="134" t="str">
        <f>$A$8</f>
        <v>T</v>
      </c>
      <c r="O422" s="134" t="str">
        <f>$A$6</f>
        <v>Y</v>
      </c>
      <c r="P422" s="134" t="str">
        <f>$A$5</f>
        <v>E</v>
      </c>
      <c r="Q422" s="134" t="str">
        <f>$A$7</f>
        <v>R</v>
      </c>
      <c r="R422" s="134" t="str">
        <f>$A$8&amp;$A$8</f>
        <v>TT</v>
      </c>
      <c r="S422" s="134" t="str">
        <f>$A$6&amp;$A$6</f>
        <v>YY</v>
      </c>
      <c r="T422" s="134" t="str">
        <f>$A$5&amp;$A$5</f>
        <v>EE</v>
      </c>
      <c r="U422" s="134" t="str">
        <f>$A$7&amp;$A$7</f>
        <v>RR</v>
      </c>
    </row>
    <row r="423" spans="1:21" ht="12">
      <c r="A423" s="132" t="s">
        <v>805</v>
      </c>
      <c r="B423" s="133">
        <v>3</v>
      </c>
      <c r="C423" s="134" t="str">
        <f>$A$8</f>
        <v>T</v>
      </c>
      <c r="D423" s="134" t="str">
        <f>$A$7</f>
        <v>R</v>
      </c>
      <c r="E423" s="134" t="str">
        <f>$A$6</f>
        <v>Y</v>
      </c>
      <c r="F423" s="134" t="str">
        <f>$A$5</f>
        <v>E</v>
      </c>
      <c r="G423" s="134" t="str">
        <f>$A$8&amp;$A$8</f>
        <v>TT</v>
      </c>
      <c r="H423" s="134" t="str">
        <f>$A$7&amp;$A$7</f>
        <v>RR</v>
      </c>
      <c r="I423" s="134" t="str">
        <f>$A$6&amp;$A$6</f>
        <v>YY</v>
      </c>
      <c r="J423" s="134" t="str">
        <f>$A$5&amp;$A$5</f>
        <v>EE</v>
      </c>
      <c r="L423" s="132" t="s">
        <v>805</v>
      </c>
      <c r="M423" s="133">
        <v>3</v>
      </c>
      <c r="N423" s="134" t="str">
        <f>$A$5</f>
        <v>E</v>
      </c>
      <c r="O423" s="134" t="str">
        <f>$A$8</f>
        <v>T</v>
      </c>
      <c r="P423" s="134" t="str">
        <f>$A$7</f>
        <v>R</v>
      </c>
      <c r="Q423" s="134" t="str">
        <f>$A$6</f>
        <v>Y</v>
      </c>
      <c r="R423" s="134" t="str">
        <f>$A$5&amp;$A$5</f>
        <v>EE</v>
      </c>
      <c r="S423" s="134" t="str">
        <f>$A$8&amp;$A$8</f>
        <v>TT</v>
      </c>
      <c r="T423" s="134" t="str">
        <f>$A$7&amp;$A$7</f>
        <v>RR</v>
      </c>
      <c r="U423" s="134" t="str">
        <f>$A$6&amp;$A$6</f>
        <v>YY</v>
      </c>
    </row>
    <row r="424" spans="1:21" ht="12">
      <c r="A424" s="132" t="s">
        <v>805</v>
      </c>
      <c r="B424" s="133">
        <v>4</v>
      </c>
      <c r="C424" s="134" t="str">
        <f>$A$5</f>
        <v>E</v>
      </c>
      <c r="D424" s="134" t="str">
        <f>$A$8</f>
        <v>T</v>
      </c>
      <c r="E424" s="134" t="str">
        <f>$A$7</f>
        <v>R</v>
      </c>
      <c r="F424" s="134" t="str">
        <f>$A$6</f>
        <v>Y</v>
      </c>
      <c r="G424" s="134" t="str">
        <f>$A$5&amp;$A$5</f>
        <v>EE</v>
      </c>
      <c r="H424" s="134" t="str">
        <f>$A$8&amp;$A$8</f>
        <v>TT</v>
      </c>
      <c r="I424" s="134" t="str">
        <f>$A$7&amp;$A$7</f>
        <v>RR</v>
      </c>
      <c r="J424" s="134" t="str">
        <f>$A$6&amp;$A$6</f>
        <v>YY</v>
      </c>
      <c r="L424" s="132" t="s">
        <v>805</v>
      </c>
      <c r="M424" s="133">
        <v>4</v>
      </c>
      <c r="N424" s="134" t="str">
        <f>$A$6</f>
        <v>Y</v>
      </c>
      <c r="O424" s="134" t="str">
        <f>$A$8</f>
        <v>T</v>
      </c>
      <c r="P424" s="134" t="str">
        <f>$A$7</f>
        <v>R</v>
      </c>
      <c r="Q424" s="134" t="str">
        <f>$A$5</f>
        <v>E</v>
      </c>
      <c r="R424" s="134" t="str">
        <f>$A$6&amp;$A$6</f>
        <v>YY</v>
      </c>
      <c r="S424" s="134" t="str">
        <f>$A$8&amp;$A$8</f>
        <v>TT</v>
      </c>
      <c r="T424" s="134" t="str">
        <f>$A$7&amp;$A$7</f>
        <v>RR</v>
      </c>
      <c r="U424" s="134" t="str">
        <f>$A$5&amp;$A$5</f>
        <v>EE</v>
      </c>
    </row>
    <row r="425" spans="1:21" ht="12">
      <c r="A425" s="132" t="s">
        <v>805</v>
      </c>
      <c r="B425" s="133">
        <v>5</v>
      </c>
      <c r="C425" s="134" t="str">
        <f>$A$6</f>
        <v>Y</v>
      </c>
      <c r="D425" s="134" t="str">
        <f>$A$7</f>
        <v>R</v>
      </c>
      <c r="E425" s="134" t="str">
        <f>$A$8</f>
        <v>T</v>
      </c>
      <c r="F425" s="134" t="str">
        <f>$A$5</f>
        <v>E</v>
      </c>
      <c r="G425" s="134" t="str">
        <f>$A$6&amp;$A$6</f>
        <v>YY</v>
      </c>
      <c r="H425" s="134" t="str">
        <f>$A$7&amp;$A$7</f>
        <v>RR</v>
      </c>
      <c r="I425" s="134" t="str">
        <f>$A$8&amp;$A$8</f>
        <v>TT</v>
      </c>
      <c r="J425" s="134" t="str">
        <f>$A$5&amp;$A$5</f>
        <v>EE</v>
      </c>
      <c r="L425" s="132" t="s">
        <v>805</v>
      </c>
      <c r="M425" s="133">
        <v>5</v>
      </c>
      <c r="N425" s="134" t="str">
        <f>$A$7</f>
        <v>R</v>
      </c>
      <c r="O425" s="134" t="str">
        <f>$A$8</f>
        <v>T</v>
      </c>
      <c r="P425" s="134" t="str">
        <f>$A$6</f>
        <v>Y</v>
      </c>
      <c r="Q425" s="134" t="str">
        <f>$A$5</f>
        <v>E</v>
      </c>
      <c r="R425" s="134" t="str">
        <f>$A$7&amp;$A$7</f>
        <v>RR</v>
      </c>
      <c r="S425" s="134" t="str">
        <f>$A$8&amp;$A$8</f>
        <v>TT</v>
      </c>
      <c r="T425" s="134" t="str">
        <f>$A$6&amp;$A$6</f>
        <v>YY</v>
      </c>
      <c r="U425" s="134" t="str">
        <f>$A$5&amp;$A$5</f>
        <v>EE</v>
      </c>
    </row>
    <row r="426" spans="1:21" ht="12">
      <c r="A426" s="132" t="s">
        <v>806</v>
      </c>
      <c r="B426" s="133">
        <v>1</v>
      </c>
      <c r="C426" s="134" t="str">
        <f>$A$6</f>
        <v>Y</v>
      </c>
      <c r="D426" s="134" t="str">
        <f>$A$7</f>
        <v>R</v>
      </c>
      <c r="E426" s="134" t="str">
        <f>$A$5</f>
        <v>E</v>
      </c>
      <c r="F426" s="134" t="str">
        <f>$A$8</f>
        <v>T</v>
      </c>
      <c r="G426" s="134" t="str">
        <f>$A$6&amp;$A$6</f>
        <v>YY</v>
      </c>
      <c r="H426" s="134" t="str">
        <f>$A$7&amp;$A$7</f>
        <v>RR</v>
      </c>
      <c r="I426" s="134" t="str">
        <f>$A$5&amp;$A$5</f>
        <v>EE</v>
      </c>
      <c r="J426" s="134" t="str">
        <f>$A$8&amp;$A$8</f>
        <v>TT</v>
      </c>
      <c r="L426" s="132" t="s">
        <v>806</v>
      </c>
      <c r="M426" s="133">
        <v>1</v>
      </c>
      <c r="N426" s="134" t="str">
        <f>$A$8</f>
        <v>T</v>
      </c>
      <c r="O426" s="134" t="str">
        <f>$A$6</f>
        <v>Y</v>
      </c>
      <c r="P426" s="134" t="str">
        <f>$A$7</f>
        <v>R</v>
      </c>
      <c r="Q426" s="134" t="str">
        <f>$A$5</f>
        <v>E</v>
      </c>
      <c r="R426" s="134" t="str">
        <f>$A$8&amp;$A$8</f>
        <v>TT</v>
      </c>
      <c r="S426" s="134" t="str">
        <f>$A$6&amp;$A$6</f>
        <v>YY</v>
      </c>
      <c r="T426" s="134" t="str">
        <f>$A$7&amp;$A$7</f>
        <v>RR</v>
      </c>
      <c r="U426" s="134" t="str">
        <f>$A$5&amp;$A$5</f>
        <v>EE</v>
      </c>
    </row>
    <row r="427" spans="1:21" ht="12">
      <c r="A427" s="132" t="s">
        <v>806</v>
      </c>
      <c r="B427" s="133">
        <v>2</v>
      </c>
      <c r="C427" s="134" t="str">
        <f>$A$5</f>
        <v>E</v>
      </c>
      <c r="D427" s="134" t="str">
        <f>$A$6</f>
        <v>Y</v>
      </c>
      <c r="E427" s="134" t="str">
        <f>$A$7</f>
        <v>R</v>
      </c>
      <c r="F427" s="134" t="str">
        <f>$A$8</f>
        <v>T</v>
      </c>
      <c r="G427" s="134" t="str">
        <f>$A$5&amp;$A$5</f>
        <v>EE</v>
      </c>
      <c r="H427" s="134" t="str">
        <f>$A$6&amp;$A$6</f>
        <v>YY</v>
      </c>
      <c r="I427" s="134" t="str">
        <f>$A$7&amp;$A$7</f>
        <v>RR</v>
      </c>
      <c r="J427" s="134" t="str">
        <f>$A$8&amp;$A$8</f>
        <v>TT</v>
      </c>
      <c r="L427" s="132" t="s">
        <v>806</v>
      </c>
      <c r="M427" s="133">
        <v>2</v>
      </c>
      <c r="N427" s="134" t="str">
        <f>$A$6</f>
        <v>Y</v>
      </c>
      <c r="O427" s="134" t="str">
        <f>$A$8</f>
        <v>T</v>
      </c>
      <c r="P427" s="134" t="str">
        <f>$A$5</f>
        <v>E</v>
      </c>
      <c r="Q427" s="134" t="str">
        <f>$A$7</f>
        <v>R</v>
      </c>
      <c r="R427" s="134" t="str">
        <f>$A$6&amp;$A$6</f>
        <v>YY</v>
      </c>
      <c r="S427" s="134" t="str">
        <f>$A$8&amp;$A$8</f>
        <v>TT</v>
      </c>
      <c r="T427" s="134" t="str">
        <f>$A$5&amp;$A$5</f>
        <v>EE</v>
      </c>
      <c r="U427" s="134" t="str">
        <f>$A$7&amp;$A$7</f>
        <v>RR</v>
      </c>
    </row>
    <row r="428" spans="1:21" ht="12">
      <c r="A428" s="132" t="s">
        <v>806</v>
      </c>
      <c r="B428" s="133">
        <v>3</v>
      </c>
      <c r="C428" s="134" t="str">
        <f>$A$8</f>
        <v>T</v>
      </c>
      <c r="D428" s="134" t="str">
        <f>$A$6</f>
        <v>Y</v>
      </c>
      <c r="E428" s="134" t="str">
        <f>$A$7</f>
        <v>R</v>
      </c>
      <c r="F428" s="134" t="str">
        <f>$A$5</f>
        <v>E</v>
      </c>
      <c r="G428" s="134" t="str">
        <f>$A$8&amp;$A$8</f>
        <v>TT</v>
      </c>
      <c r="H428" s="134" t="str">
        <f>$A$6&amp;$A$6</f>
        <v>YY</v>
      </c>
      <c r="I428" s="134" t="str">
        <f>$A$7&amp;$A$7</f>
        <v>RR</v>
      </c>
      <c r="J428" s="134" t="str">
        <f>$A$5&amp;$A$5</f>
        <v>EE</v>
      </c>
      <c r="L428" s="132" t="s">
        <v>806</v>
      </c>
      <c r="M428" s="133">
        <v>3</v>
      </c>
      <c r="N428" s="134" t="str">
        <f>$A$5</f>
        <v>E</v>
      </c>
      <c r="O428" s="134" t="str">
        <f>$A$7</f>
        <v>R</v>
      </c>
      <c r="P428" s="134" t="str">
        <f>$A$8</f>
        <v>T</v>
      </c>
      <c r="Q428" s="134" t="str">
        <f>$A$6</f>
        <v>Y</v>
      </c>
      <c r="R428" s="134" t="str">
        <f>$A$5&amp;$A$5</f>
        <v>EE</v>
      </c>
      <c r="S428" s="134" t="str">
        <f>$A$7&amp;$A$7</f>
        <v>RR</v>
      </c>
      <c r="T428" s="134" t="str">
        <f>$A$8&amp;$A$8</f>
        <v>TT</v>
      </c>
      <c r="U428" s="134" t="str">
        <f>$A$6&amp;$A$6</f>
        <v>YY</v>
      </c>
    </row>
    <row r="429" spans="1:21" ht="12">
      <c r="A429" s="132" t="s">
        <v>806</v>
      </c>
      <c r="B429" s="133">
        <v>4</v>
      </c>
      <c r="C429" s="134" t="str">
        <f>$A$7</f>
        <v>R</v>
      </c>
      <c r="D429" s="134" t="str">
        <f>$A$5</f>
        <v>E</v>
      </c>
      <c r="E429" s="134" t="str">
        <f>$A$8</f>
        <v>T</v>
      </c>
      <c r="F429" s="134" t="str">
        <f>$A$6</f>
        <v>Y</v>
      </c>
      <c r="G429" s="134" t="str">
        <f>$A$7&amp;$A$7</f>
        <v>RR</v>
      </c>
      <c r="H429" s="134" t="str">
        <f>$A$5&amp;$A$5</f>
        <v>EE</v>
      </c>
      <c r="I429" s="134" t="str">
        <f>$A$8&amp;$A$8</f>
        <v>TT</v>
      </c>
      <c r="J429" s="134" t="str">
        <f>$A$6&amp;$A$6</f>
        <v>YY</v>
      </c>
      <c r="L429" s="132" t="s">
        <v>806</v>
      </c>
      <c r="M429" s="133">
        <v>4</v>
      </c>
      <c r="N429" s="134" t="str">
        <f>$A$7</f>
        <v>R</v>
      </c>
      <c r="O429" s="134" t="str">
        <f>$A$8</f>
        <v>T</v>
      </c>
      <c r="P429" s="134" t="str">
        <f>$A$5</f>
        <v>E</v>
      </c>
      <c r="Q429" s="134" t="str">
        <f>$A$6</f>
        <v>Y</v>
      </c>
      <c r="R429" s="134" t="str">
        <f>$A$7&amp;$A$7</f>
        <v>RR</v>
      </c>
      <c r="S429" s="134" t="str">
        <f>$A$8&amp;$A$8</f>
        <v>TT</v>
      </c>
      <c r="T429" s="134" t="str">
        <f>$A$5&amp;$A$5</f>
        <v>EE</v>
      </c>
      <c r="U429" s="134" t="str">
        <f>$A$6&amp;$A$6</f>
        <v>YY</v>
      </c>
    </row>
    <row r="430" spans="1:21" ht="12">
      <c r="A430" s="132" t="s">
        <v>806</v>
      </c>
      <c r="B430" s="133">
        <v>5</v>
      </c>
      <c r="C430" s="134" t="str">
        <f>$A$6</f>
        <v>Y</v>
      </c>
      <c r="D430" s="134" t="str">
        <f>$A$5</f>
        <v>E</v>
      </c>
      <c r="E430" s="134" t="str">
        <f>$A$7</f>
        <v>R</v>
      </c>
      <c r="F430" s="134" t="str">
        <f>$A$8</f>
        <v>T</v>
      </c>
      <c r="G430" s="134" t="str">
        <f>$A$6&amp;$A$6</f>
        <v>YY</v>
      </c>
      <c r="H430" s="134" t="str">
        <f>$A$5&amp;$A$5</f>
        <v>EE</v>
      </c>
      <c r="I430" s="134" t="str">
        <f>$A$7&amp;$A$7</f>
        <v>RR</v>
      </c>
      <c r="J430" s="134" t="str">
        <f>$A$8&amp;$A$8</f>
        <v>TT</v>
      </c>
      <c r="L430" s="132" t="s">
        <v>806</v>
      </c>
      <c r="M430" s="133">
        <v>5</v>
      </c>
      <c r="N430" s="134" t="str">
        <f>$A$8</f>
        <v>T</v>
      </c>
      <c r="O430" s="134" t="str">
        <f>$A$7</f>
        <v>R</v>
      </c>
      <c r="P430" s="134" t="str">
        <f>$A$6</f>
        <v>Y</v>
      </c>
      <c r="Q430" s="134" t="str">
        <f>$A$5</f>
        <v>E</v>
      </c>
      <c r="R430" s="134" t="str">
        <f>$A$8&amp;$A$8</f>
        <v>TT</v>
      </c>
      <c r="S430" s="134" t="str">
        <f>$A$7&amp;$A$7</f>
        <v>RR</v>
      </c>
      <c r="T430" s="134" t="str">
        <f>$A$6&amp;$A$6</f>
        <v>YY</v>
      </c>
      <c r="U430" s="134" t="str">
        <f>$A$5&amp;$A$5</f>
        <v>EE</v>
      </c>
    </row>
    <row r="431" spans="1:21" ht="12">
      <c r="A431" s="132" t="s">
        <v>807</v>
      </c>
      <c r="B431" s="133">
        <v>1</v>
      </c>
      <c r="C431" s="134" t="str">
        <f>$A$7</f>
        <v>R</v>
      </c>
      <c r="D431" s="134" t="str">
        <f>$A$6</f>
        <v>Y</v>
      </c>
      <c r="E431" s="134" t="str">
        <f>$A$8</f>
        <v>T</v>
      </c>
      <c r="F431" s="134" t="str">
        <f>$A$5</f>
        <v>E</v>
      </c>
      <c r="G431" s="134" t="str">
        <f>$A$7&amp;$A$7</f>
        <v>RR</v>
      </c>
      <c r="H431" s="134" t="str">
        <f>$A$6&amp;$A$6</f>
        <v>YY</v>
      </c>
      <c r="I431" s="134" t="str">
        <f>$A$8&amp;$A$8</f>
        <v>TT</v>
      </c>
      <c r="J431" s="134" t="str">
        <f>$A$5&amp;$A$5</f>
        <v>EE</v>
      </c>
      <c r="L431" s="132" t="s">
        <v>807</v>
      </c>
      <c r="M431" s="133">
        <v>1</v>
      </c>
      <c r="N431" s="134" t="str">
        <f>$A$7</f>
        <v>R</v>
      </c>
      <c r="O431" s="134" t="str">
        <f>$A$5</f>
        <v>E</v>
      </c>
      <c r="P431" s="134" t="str">
        <f>$A$6</f>
        <v>Y</v>
      </c>
      <c r="Q431" s="134" t="str">
        <f>$A$8</f>
        <v>T</v>
      </c>
      <c r="R431" s="134" t="str">
        <f>$A$7&amp;$A$7</f>
        <v>RR</v>
      </c>
      <c r="S431" s="134" t="str">
        <f>$A$5&amp;$A$5</f>
        <v>EE</v>
      </c>
      <c r="T431" s="134" t="str">
        <f>$A$6&amp;$A$6</f>
        <v>YY</v>
      </c>
      <c r="U431" s="134" t="str">
        <f>$A$8&amp;$A$8</f>
        <v>TT</v>
      </c>
    </row>
    <row r="432" spans="1:21" ht="12">
      <c r="A432" s="132" t="s">
        <v>807</v>
      </c>
      <c r="B432" s="133">
        <v>2</v>
      </c>
      <c r="C432" s="134" t="str">
        <f>$A$6</f>
        <v>Y</v>
      </c>
      <c r="D432" s="134" t="str">
        <f>$A$5</f>
        <v>E</v>
      </c>
      <c r="E432" s="134" t="str">
        <f>$A$8</f>
        <v>T</v>
      </c>
      <c r="F432" s="134" t="str">
        <f>$A$7</f>
        <v>R</v>
      </c>
      <c r="G432" s="134" t="str">
        <f>$A$6&amp;$A$6</f>
        <v>YY</v>
      </c>
      <c r="H432" s="134" t="str">
        <f>$A$5&amp;$A$5</f>
        <v>EE</v>
      </c>
      <c r="I432" s="134" t="str">
        <f>$A$8&amp;$A$8</f>
        <v>TT</v>
      </c>
      <c r="J432" s="134" t="str">
        <f>$A$7&amp;$A$7</f>
        <v>RR</v>
      </c>
      <c r="L432" s="132" t="s">
        <v>807</v>
      </c>
      <c r="M432" s="133">
        <v>2</v>
      </c>
      <c r="N432" s="134" t="str">
        <f>$A$6</f>
        <v>Y</v>
      </c>
      <c r="O432" s="134" t="str">
        <f>$A$5</f>
        <v>E</v>
      </c>
      <c r="P432" s="134" t="str">
        <f>$A$7</f>
        <v>R</v>
      </c>
      <c r="Q432" s="134" t="str">
        <f>$A$8</f>
        <v>T</v>
      </c>
      <c r="R432" s="134" t="str">
        <f>$A$6&amp;$A$6</f>
        <v>YY</v>
      </c>
      <c r="S432" s="134" t="str">
        <f>$A$5&amp;$A$5</f>
        <v>EE</v>
      </c>
      <c r="T432" s="134" t="str">
        <f>$A$7&amp;$A$7</f>
        <v>RR</v>
      </c>
      <c r="U432" s="134" t="str">
        <f>$A$8&amp;$A$8</f>
        <v>TT</v>
      </c>
    </row>
    <row r="433" spans="1:21" ht="12">
      <c r="A433" s="132" t="s">
        <v>807</v>
      </c>
      <c r="B433" s="133">
        <v>3</v>
      </c>
      <c r="C433" s="134" t="str">
        <f>$A$7</f>
        <v>R</v>
      </c>
      <c r="D433" s="134" t="str">
        <f>$A$5</f>
        <v>E</v>
      </c>
      <c r="E433" s="134" t="str">
        <f>$A$6</f>
        <v>Y</v>
      </c>
      <c r="F433" s="134" t="str">
        <f>$A$8</f>
        <v>T</v>
      </c>
      <c r="G433" s="134" t="str">
        <f>$A$7&amp;$A$7</f>
        <v>RR</v>
      </c>
      <c r="H433" s="134" t="str">
        <f>$A$5&amp;$A$5</f>
        <v>EE</v>
      </c>
      <c r="I433" s="134" t="str">
        <f>$A$6&amp;$A$6</f>
        <v>YY</v>
      </c>
      <c r="J433" s="134" t="str">
        <f>$A$8&amp;$A$8</f>
        <v>TT</v>
      </c>
      <c r="L433" s="132" t="s">
        <v>807</v>
      </c>
      <c r="M433" s="133">
        <v>3</v>
      </c>
      <c r="N433" s="134" t="str">
        <f>$A$7</f>
        <v>R</v>
      </c>
      <c r="O433" s="134" t="str">
        <f>$A$6</f>
        <v>Y</v>
      </c>
      <c r="P433" s="134" t="str">
        <f>$A$8</f>
        <v>T</v>
      </c>
      <c r="Q433" s="134" t="str">
        <f>$A$5</f>
        <v>E</v>
      </c>
      <c r="R433" s="134" t="str">
        <f>$A$7&amp;$A$7</f>
        <v>RR</v>
      </c>
      <c r="S433" s="134" t="str">
        <f>$A$6&amp;$A$6</f>
        <v>YY</v>
      </c>
      <c r="T433" s="134" t="str">
        <f>$A$8&amp;$A$8</f>
        <v>TT</v>
      </c>
      <c r="U433" s="134" t="str">
        <f>$A$5&amp;$A$5</f>
        <v>EE</v>
      </c>
    </row>
    <row r="434" spans="1:21" ht="12">
      <c r="A434" s="132" t="s">
        <v>807</v>
      </c>
      <c r="B434" s="133">
        <v>4</v>
      </c>
      <c r="C434" s="134" t="str">
        <f>$A$8</f>
        <v>T</v>
      </c>
      <c r="D434" s="134" t="str">
        <f>$A$6</f>
        <v>Y</v>
      </c>
      <c r="E434" s="134" t="str">
        <f>$A$5</f>
        <v>E</v>
      </c>
      <c r="F434" s="134" t="str">
        <f>$A$7</f>
        <v>R</v>
      </c>
      <c r="G434" s="134" t="str">
        <f>$A$8&amp;$A$8</f>
        <v>TT</v>
      </c>
      <c r="H434" s="134" t="str">
        <f>$A$6&amp;$A$6</f>
        <v>YY</v>
      </c>
      <c r="I434" s="134" t="str">
        <f>$A$5&amp;$A$5</f>
        <v>EE</v>
      </c>
      <c r="J434" s="134" t="str">
        <f>$A$7&amp;$A$7</f>
        <v>RR</v>
      </c>
      <c r="L434" s="132" t="s">
        <v>807</v>
      </c>
      <c r="M434" s="133">
        <v>4</v>
      </c>
      <c r="N434" s="134" t="str">
        <f>$A$7</f>
        <v>R</v>
      </c>
      <c r="O434" s="134" t="str">
        <f>$A$8</f>
        <v>T</v>
      </c>
      <c r="P434" s="134" t="str">
        <f>$A$6</f>
        <v>Y</v>
      </c>
      <c r="Q434" s="134" t="str">
        <f>$A$5</f>
        <v>E</v>
      </c>
      <c r="R434" s="134" t="str">
        <f>$A$7&amp;$A$7</f>
        <v>RR</v>
      </c>
      <c r="S434" s="134" t="str">
        <f>$A$8&amp;$A$8</f>
        <v>TT</v>
      </c>
      <c r="T434" s="134" t="str">
        <f>$A$6&amp;$A$6</f>
        <v>YY</v>
      </c>
      <c r="U434" s="134" t="str">
        <f>$A$5&amp;$A$5</f>
        <v>EE</v>
      </c>
    </row>
    <row r="435" spans="1:21" ht="12">
      <c r="A435" s="132" t="s">
        <v>807</v>
      </c>
      <c r="B435" s="133">
        <v>5</v>
      </c>
      <c r="C435" s="134" t="str">
        <f>$A$5</f>
        <v>E</v>
      </c>
      <c r="D435" s="134" t="str">
        <f>$A$6</f>
        <v>Y</v>
      </c>
      <c r="E435" s="134" t="str">
        <f>$A$7</f>
        <v>R</v>
      </c>
      <c r="F435" s="134" t="str">
        <f>$A$8</f>
        <v>T</v>
      </c>
      <c r="G435" s="134" t="str">
        <f>$A$5&amp;$A$5</f>
        <v>EE</v>
      </c>
      <c r="H435" s="134" t="str">
        <f>$A$6&amp;$A$6</f>
        <v>YY</v>
      </c>
      <c r="I435" s="134" t="str">
        <f>$A$7&amp;$A$7</f>
        <v>RR</v>
      </c>
      <c r="J435" s="134" t="str">
        <f>$A$8&amp;$A$8</f>
        <v>TT</v>
      </c>
      <c r="L435" s="132" t="s">
        <v>807</v>
      </c>
      <c r="M435" s="133">
        <v>5</v>
      </c>
      <c r="N435" s="134" t="str">
        <f>$A$6</f>
        <v>Y</v>
      </c>
      <c r="O435" s="134" t="str">
        <f>$A$7</f>
        <v>R</v>
      </c>
      <c r="P435" s="134" t="str">
        <f>$A$5</f>
        <v>E</v>
      </c>
      <c r="Q435" s="134" t="str">
        <f>$A$8</f>
        <v>T</v>
      </c>
      <c r="R435" s="134" t="str">
        <f>$A$6&amp;$A$6</f>
        <v>YY</v>
      </c>
      <c r="S435" s="134" t="str">
        <f>$A$7&amp;$A$7</f>
        <v>RR</v>
      </c>
      <c r="T435" s="134" t="str">
        <f>$A$5&amp;$A$5</f>
        <v>EE</v>
      </c>
      <c r="U435" s="134" t="str">
        <f>$A$8&amp;$A$8</f>
        <v>TT</v>
      </c>
    </row>
    <row r="436" spans="1:21" ht="12">
      <c r="A436" s="132" t="s">
        <v>808</v>
      </c>
      <c r="B436" s="133">
        <v>1</v>
      </c>
      <c r="C436" s="134" t="str">
        <f>$A$5</f>
        <v>E</v>
      </c>
      <c r="D436" s="134" t="str">
        <f>$A$6</f>
        <v>Y</v>
      </c>
      <c r="E436" s="134" t="str">
        <f>$A$8</f>
        <v>T</v>
      </c>
      <c r="F436" s="134" t="str">
        <f>$A$7</f>
        <v>R</v>
      </c>
      <c r="G436" s="134" t="str">
        <f>$A$5&amp;$A$5</f>
        <v>EE</v>
      </c>
      <c r="H436" s="134" t="str">
        <f>$A$6&amp;$A$6</f>
        <v>YY</v>
      </c>
      <c r="I436" s="134" t="str">
        <f>$A$8&amp;$A$8</f>
        <v>TT</v>
      </c>
      <c r="J436" s="134" t="str">
        <f>$A$7&amp;$A$7</f>
        <v>RR</v>
      </c>
      <c r="L436" s="132" t="s">
        <v>808</v>
      </c>
      <c r="M436" s="133">
        <v>1</v>
      </c>
      <c r="N436" s="134" t="str">
        <f>$A$7</f>
        <v>R</v>
      </c>
      <c r="O436" s="134" t="str">
        <f>$A$8</f>
        <v>T</v>
      </c>
      <c r="P436" s="134" t="str">
        <f>$A$5</f>
        <v>E</v>
      </c>
      <c r="Q436" s="134" t="str">
        <f>$A$6</f>
        <v>Y</v>
      </c>
      <c r="R436" s="134" t="str">
        <f>$A$7&amp;$A$7</f>
        <v>RR</v>
      </c>
      <c r="S436" s="134" t="str">
        <f>$A$8&amp;$A$8</f>
        <v>TT</v>
      </c>
      <c r="T436" s="134" t="str">
        <f>$A$5&amp;$A$5</f>
        <v>EE</v>
      </c>
      <c r="U436" s="134" t="str">
        <f>$A$6&amp;$A$6</f>
        <v>YY</v>
      </c>
    </row>
    <row r="437" spans="1:21" ht="12">
      <c r="A437" s="132" t="s">
        <v>808</v>
      </c>
      <c r="B437" s="133">
        <v>2</v>
      </c>
      <c r="C437" s="134" t="str">
        <f>$A$7</f>
        <v>R</v>
      </c>
      <c r="D437" s="134" t="str">
        <f>$A$6</f>
        <v>Y</v>
      </c>
      <c r="E437" s="134" t="str">
        <f>$A$5</f>
        <v>E</v>
      </c>
      <c r="F437" s="134" t="str">
        <f>$A$8</f>
        <v>T</v>
      </c>
      <c r="G437" s="134" t="str">
        <f>$A$7&amp;$A$7</f>
        <v>RR</v>
      </c>
      <c r="H437" s="134" t="str">
        <f>$A$6&amp;$A$6</f>
        <v>YY</v>
      </c>
      <c r="I437" s="134" t="str">
        <f>$A$5&amp;$A$5</f>
        <v>EE</v>
      </c>
      <c r="J437" s="134" t="str">
        <f>$A$8&amp;$A$8</f>
        <v>TT</v>
      </c>
      <c r="L437" s="132" t="s">
        <v>808</v>
      </c>
      <c r="M437" s="133">
        <v>2</v>
      </c>
      <c r="N437" s="134" t="str">
        <f>$A$8</f>
        <v>T</v>
      </c>
      <c r="O437" s="134" t="str">
        <f>$A$7</f>
        <v>R</v>
      </c>
      <c r="P437" s="134" t="str">
        <f>$A$5</f>
        <v>E</v>
      </c>
      <c r="Q437" s="134" t="str">
        <f>$A$6</f>
        <v>Y</v>
      </c>
      <c r="R437" s="134" t="str">
        <f>$A$8&amp;$A$8</f>
        <v>TT</v>
      </c>
      <c r="S437" s="134" t="str">
        <f>$A$7&amp;$A$7</f>
        <v>RR</v>
      </c>
      <c r="T437" s="134" t="str">
        <f>$A$5&amp;$A$5</f>
        <v>EE</v>
      </c>
      <c r="U437" s="134" t="str">
        <f>$A$6&amp;$A$6</f>
        <v>YY</v>
      </c>
    </row>
    <row r="438" spans="1:21" ht="12">
      <c r="A438" s="136" t="s">
        <v>808</v>
      </c>
      <c r="B438" s="133">
        <v>3</v>
      </c>
      <c r="C438" s="134" t="str">
        <f>$A$5</f>
        <v>E</v>
      </c>
      <c r="D438" s="134" t="str">
        <f>$A$6</f>
        <v>Y</v>
      </c>
      <c r="E438" s="134" t="str">
        <f>$A$7</f>
        <v>R</v>
      </c>
      <c r="F438" s="134" t="str">
        <f>$A$8</f>
        <v>T</v>
      </c>
      <c r="G438" s="134" t="str">
        <f>$A$5&amp;$A$5</f>
        <v>EE</v>
      </c>
      <c r="H438" s="134" t="str">
        <f>$A$6&amp;$A$6</f>
        <v>YY</v>
      </c>
      <c r="I438" s="134" t="str">
        <f>$A$7&amp;$A$7</f>
        <v>RR</v>
      </c>
      <c r="J438" s="134" t="str">
        <f>$A$8&amp;$A$8</f>
        <v>TT</v>
      </c>
      <c r="L438" s="132" t="s">
        <v>808</v>
      </c>
      <c r="M438" s="133">
        <v>3</v>
      </c>
      <c r="N438" s="134" t="str">
        <f>$A$6</f>
        <v>Y</v>
      </c>
      <c r="O438" s="134" t="str">
        <f>$A$7</f>
        <v>R</v>
      </c>
      <c r="P438" s="134" t="str">
        <f>$A$8</f>
        <v>T</v>
      </c>
      <c r="Q438" s="134" t="str">
        <f>$A$5</f>
        <v>E</v>
      </c>
      <c r="R438" s="134" t="str">
        <f>$A$6&amp;$A$6</f>
        <v>YY</v>
      </c>
      <c r="S438" s="134" t="str">
        <f>$A$7&amp;$A$7</f>
        <v>RR</v>
      </c>
      <c r="T438" s="134" t="str">
        <f>$A$8&amp;$A$8</f>
        <v>TT</v>
      </c>
      <c r="U438" s="134" t="str">
        <f>$A$5&amp;$A$5</f>
        <v>EE</v>
      </c>
    </row>
    <row r="439" spans="1:21" ht="12">
      <c r="A439" s="132" t="s">
        <v>808</v>
      </c>
      <c r="B439" s="133">
        <v>4</v>
      </c>
      <c r="C439" s="134" t="str">
        <f>$A$8</f>
        <v>T</v>
      </c>
      <c r="D439" s="134" t="str">
        <f>$A$7</f>
        <v>R</v>
      </c>
      <c r="E439" s="134" t="str">
        <f>$A$5</f>
        <v>E</v>
      </c>
      <c r="F439" s="134" t="str">
        <f>$A$6</f>
        <v>Y</v>
      </c>
      <c r="G439" s="134" t="str">
        <f>$A$8&amp;$A$8</f>
        <v>TT</v>
      </c>
      <c r="H439" s="134" t="str">
        <f>$A$7&amp;$A$7</f>
        <v>RR</v>
      </c>
      <c r="I439" s="134" t="str">
        <f>$A$5&amp;$A$5</f>
        <v>EE</v>
      </c>
      <c r="J439" s="134" t="str">
        <f>$A$6&amp;$A$6</f>
        <v>YY</v>
      </c>
      <c r="L439" s="132" t="s">
        <v>808</v>
      </c>
      <c r="M439" s="133">
        <v>4</v>
      </c>
      <c r="N439" s="134" t="str">
        <f>$A$5</f>
        <v>E</v>
      </c>
      <c r="O439" s="134" t="str">
        <f>$A$7</f>
        <v>R</v>
      </c>
      <c r="P439" s="134" t="str">
        <f>$A$6</f>
        <v>Y</v>
      </c>
      <c r="Q439" s="134" t="str">
        <f>$A$8</f>
        <v>T</v>
      </c>
      <c r="R439" s="134" t="str">
        <f>$A$5&amp;$A$5</f>
        <v>EE</v>
      </c>
      <c r="S439" s="134" t="str">
        <f>$A$7&amp;$A$7</f>
        <v>RR</v>
      </c>
      <c r="T439" s="134" t="str">
        <f>$A$6&amp;$A$6</f>
        <v>YY</v>
      </c>
      <c r="U439" s="134" t="str">
        <f>$A$8&amp;$A$8</f>
        <v>TT</v>
      </c>
    </row>
    <row r="440" spans="1:21" ht="12">
      <c r="A440" s="132" t="s">
        <v>808</v>
      </c>
      <c r="B440" s="135">
        <v>5</v>
      </c>
      <c r="C440" s="134" t="str">
        <f>$A$5</f>
        <v>E</v>
      </c>
      <c r="D440" s="134" t="str">
        <f>$A$7</f>
        <v>R</v>
      </c>
      <c r="E440" s="134" t="str">
        <f>$A$8</f>
        <v>T</v>
      </c>
      <c r="F440" s="134" t="str">
        <f>$A$6</f>
        <v>Y</v>
      </c>
      <c r="G440" s="134" t="str">
        <f>$A$5&amp;$A$5</f>
        <v>EE</v>
      </c>
      <c r="H440" s="134" t="str">
        <f>$A$7&amp;$A$7</f>
        <v>RR</v>
      </c>
      <c r="I440" s="134" t="str">
        <f>$A$8&amp;$A$8</f>
        <v>TT</v>
      </c>
      <c r="J440" s="134" t="str">
        <f>$A$6&amp;$A$6</f>
        <v>YY</v>
      </c>
      <c r="L440" s="132" t="s">
        <v>808</v>
      </c>
      <c r="M440" s="135">
        <v>5</v>
      </c>
      <c r="N440" s="134" t="str">
        <f>$A$7</f>
        <v>R</v>
      </c>
      <c r="O440" s="134" t="str">
        <f>$A$5</f>
        <v>E</v>
      </c>
      <c r="P440" s="134" t="str">
        <f>$A$8</f>
        <v>T</v>
      </c>
      <c r="Q440" s="134" t="str">
        <f>$A$6</f>
        <v>Y</v>
      </c>
      <c r="R440" s="134" t="str">
        <f>$A$7&amp;$A$7</f>
        <v>RR</v>
      </c>
      <c r="S440" s="134" t="str">
        <f>$A$5&amp;$A$5</f>
        <v>EE</v>
      </c>
      <c r="T440" s="134" t="str">
        <f>$A$8&amp;$A$8</f>
        <v>TT</v>
      </c>
      <c r="U440" s="134" t="str">
        <f>$A$6&amp;$A$6</f>
        <v>YY</v>
      </c>
    </row>
    <row r="441" spans="1:21" ht="12">
      <c r="A441" s="132" t="s">
        <v>809</v>
      </c>
      <c r="B441" s="133">
        <v>1</v>
      </c>
      <c r="C441" s="134" t="str">
        <f>$A$8</f>
        <v>T</v>
      </c>
      <c r="D441" s="134" t="str">
        <f>$A$7</f>
        <v>R</v>
      </c>
      <c r="E441" s="134" t="str">
        <f>$A$5</f>
        <v>E</v>
      </c>
      <c r="F441" s="134" t="str">
        <f>$A$6</f>
        <v>Y</v>
      </c>
      <c r="G441" s="134" t="str">
        <f>$A$8&amp;$A$8</f>
        <v>TT</v>
      </c>
      <c r="H441" s="134" t="str">
        <f>$A$7&amp;$A$7</f>
        <v>RR</v>
      </c>
      <c r="I441" s="134" t="str">
        <f>$A$5&amp;$A$5</f>
        <v>EE</v>
      </c>
      <c r="J441" s="134" t="str">
        <f>$A$6&amp;$A$6</f>
        <v>YY</v>
      </c>
      <c r="L441" s="132" t="s">
        <v>809</v>
      </c>
      <c r="M441" s="133">
        <v>1</v>
      </c>
      <c r="N441" s="134" t="str">
        <f>$A$6</f>
        <v>Y</v>
      </c>
      <c r="O441" s="134" t="str">
        <f>$A$5</f>
        <v>E</v>
      </c>
      <c r="P441" s="134" t="str">
        <f>$A$8</f>
        <v>T</v>
      </c>
      <c r="Q441" s="134" t="str">
        <f>$A$7</f>
        <v>R</v>
      </c>
      <c r="R441" s="134" t="str">
        <f>$A$6&amp;$A$6</f>
        <v>YY</v>
      </c>
      <c r="S441" s="134" t="str">
        <f>$A$5&amp;$A$5</f>
        <v>EE</v>
      </c>
      <c r="T441" s="134" t="str">
        <f>$A$8&amp;$A$8</f>
        <v>TT</v>
      </c>
      <c r="U441" s="134" t="str">
        <f>$A$7&amp;$A$7</f>
        <v>RR</v>
      </c>
    </row>
    <row r="442" spans="1:21" ht="12">
      <c r="A442" s="132" t="s">
        <v>809</v>
      </c>
      <c r="B442" s="133">
        <v>2</v>
      </c>
      <c r="C442" s="134" t="str">
        <f>$A$6</f>
        <v>Y</v>
      </c>
      <c r="D442" s="134" t="str">
        <f>$A$7</f>
        <v>R</v>
      </c>
      <c r="E442" s="134" t="str">
        <f>$A$5</f>
        <v>E</v>
      </c>
      <c r="F442" s="134" t="str">
        <f>$A$8</f>
        <v>T</v>
      </c>
      <c r="G442" s="134" t="str">
        <f>$A$6&amp;$A$6</f>
        <v>YY</v>
      </c>
      <c r="H442" s="134" t="str">
        <f>$A$7&amp;$A$7</f>
        <v>RR</v>
      </c>
      <c r="I442" s="134" t="str">
        <f>$A$5&amp;$A$5</f>
        <v>EE</v>
      </c>
      <c r="J442" s="134" t="str">
        <f>$A$8&amp;$A$8</f>
        <v>TT</v>
      </c>
      <c r="L442" s="132" t="s">
        <v>809</v>
      </c>
      <c r="M442" s="133">
        <v>2</v>
      </c>
      <c r="N442" s="134" t="str">
        <f>$A$5</f>
        <v>E</v>
      </c>
      <c r="O442" s="134" t="str">
        <f>$A$6</f>
        <v>Y</v>
      </c>
      <c r="P442" s="134" t="str">
        <f>$A$8</f>
        <v>T</v>
      </c>
      <c r="Q442" s="134" t="str">
        <f>$A$7</f>
        <v>R</v>
      </c>
      <c r="R442" s="134" t="str">
        <f>$A$5&amp;$A$5</f>
        <v>EE</v>
      </c>
      <c r="S442" s="134" t="str">
        <f>$A$6&amp;$A$6</f>
        <v>YY</v>
      </c>
      <c r="T442" s="134" t="str">
        <f>$A$8&amp;$A$8</f>
        <v>TT</v>
      </c>
      <c r="U442" s="134" t="str">
        <f>$A$7&amp;$A$7</f>
        <v>RR</v>
      </c>
    </row>
    <row r="443" spans="1:21" ht="12">
      <c r="A443" s="132" t="s">
        <v>809</v>
      </c>
      <c r="B443" s="133">
        <v>3</v>
      </c>
      <c r="C443" s="134" t="str">
        <f>$A$7</f>
        <v>R</v>
      </c>
      <c r="D443" s="134" t="str">
        <f>$A$8</f>
        <v>T</v>
      </c>
      <c r="E443" s="134" t="str">
        <f>$A$6</f>
        <v>Y</v>
      </c>
      <c r="F443" s="134" t="str">
        <f>$A$5</f>
        <v>E</v>
      </c>
      <c r="G443" s="134" t="str">
        <f>$A$7&amp;$A$7</f>
        <v>RR</v>
      </c>
      <c r="H443" s="134" t="str">
        <f>$A$8&amp;$A$8</f>
        <v>TT</v>
      </c>
      <c r="I443" s="134" t="str">
        <f>$A$6&amp;$A$6</f>
        <v>YY</v>
      </c>
      <c r="J443" s="134" t="str">
        <f>$A$5&amp;$A$5</f>
        <v>EE</v>
      </c>
      <c r="L443" s="132" t="s">
        <v>809</v>
      </c>
      <c r="M443" s="133">
        <v>3</v>
      </c>
      <c r="N443" s="134" t="str">
        <f>$A$7</f>
        <v>R</v>
      </c>
      <c r="O443" s="134" t="str">
        <f>$A$5</f>
        <v>E</v>
      </c>
      <c r="P443" s="134" t="str">
        <f>$A$8</f>
        <v>T</v>
      </c>
      <c r="Q443" s="134" t="str">
        <f>$A$6</f>
        <v>Y</v>
      </c>
      <c r="R443" s="134" t="str">
        <f>$A$7&amp;$A$7</f>
        <v>RR</v>
      </c>
      <c r="S443" s="134" t="str">
        <f>$A$5&amp;$A$5</f>
        <v>EE</v>
      </c>
      <c r="T443" s="134" t="str">
        <f>$A$8&amp;$A$8</f>
        <v>TT</v>
      </c>
      <c r="U443" s="134" t="str">
        <f>$A$6&amp;$A$6</f>
        <v>YY</v>
      </c>
    </row>
    <row r="444" spans="1:21" ht="12">
      <c r="A444" s="132" t="s">
        <v>809</v>
      </c>
      <c r="B444" s="133">
        <v>4</v>
      </c>
      <c r="C444" s="134" t="str">
        <f>$A$5</f>
        <v>E</v>
      </c>
      <c r="D444" s="134" t="str">
        <f>$A$6</f>
        <v>Y</v>
      </c>
      <c r="E444" s="134" t="str">
        <f>$A$8</f>
        <v>T</v>
      </c>
      <c r="F444" s="134" t="str">
        <f>$A$7</f>
        <v>R</v>
      </c>
      <c r="G444" s="134" t="str">
        <f>$A$5&amp;$A$5</f>
        <v>EE</v>
      </c>
      <c r="H444" s="134" t="str">
        <f>$A$6&amp;$A$6</f>
        <v>YY</v>
      </c>
      <c r="I444" s="134" t="str">
        <f>$A$8&amp;$A$8</f>
        <v>TT</v>
      </c>
      <c r="J444" s="134" t="str">
        <f>$A$7&amp;$A$7</f>
        <v>RR</v>
      </c>
      <c r="L444" s="132" t="s">
        <v>809</v>
      </c>
      <c r="M444" s="133">
        <v>4</v>
      </c>
      <c r="N444" s="134" t="str">
        <f>$A$8</f>
        <v>T</v>
      </c>
      <c r="O444" s="134" t="str">
        <f>$A$5</f>
        <v>E</v>
      </c>
      <c r="P444" s="134" t="str">
        <f>$A$7</f>
        <v>R</v>
      </c>
      <c r="Q444" s="134" t="str">
        <f>$A$6</f>
        <v>Y</v>
      </c>
      <c r="R444" s="134" t="str">
        <f>$A$8&amp;$A$8</f>
        <v>TT</v>
      </c>
      <c r="S444" s="134" t="str">
        <f>$A$5&amp;$A$5</f>
        <v>EE</v>
      </c>
      <c r="T444" s="134" t="str">
        <f>$A$7&amp;$A$7</f>
        <v>RR</v>
      </c>
      <c r="U444" s="134" t="str">
        <f>$A$6&amp;$A$6</f>
        <v>YY</v>
      </c>
    </row>
    <row r="445" spans="1:21" ht="12">
      <c r="A445" s="132" t="s">
        <v>809</v>
      </c>
      <c r="B445" s="133">
        <v>5</v>
      </c>
      <c r="C445" s="134" t="str">
        <f>$A$8</f>
        <v>T</v>
      </c>
      <c r="D445" s="134" t="str">
        <f>$A$6</f>
        <v>Y</v>
      </c>
      <c r="E445" s="134" t="str">
        <f>$A$7</f>
        <v>R</v>
      </c>
      <c r="F445" s="134" t="str">
        <f>$A$5</f>
        <v>E</v>
      </c>
      <c r="G445" s="134" t="str">
        <f>$A$8&amp;$A$8</f>
        <v>TT</v>
      </c>
      <c r="H445" s="134" t="str">
        <f>$A$6&amp;$A$6</f>
        <v>YY</v>
      </c>
      <c r="I445" s="134" t="str">
        <f>$A$7&amp;$A$7</f>
        <v>RR</v>
      </c>
      <c r="J445" s="134" t="str">
        <f>$A$5&amp;$A$5</f>
        <v>EE</v>
      </c>
      <c r="L445" s="132" t="s">
        <v>809</v>
      </c>
      <c r="M445" s="133">
        <v>5</v>
      </c>
      <c r="N445" s="134" t="str">
        <f>$A$6</f>
        <v>Y</v>
      </c>
      <c r="O445" s="134" t="str">
        <f>$A$8</f>
        <v>T</v>
      </c>
      <c r="P445" s="134" t="str">
        <f>$A$7</f>
        <v>R</v>
      </c>
      <c r="Q445" s="134" t="str">
        <f>$A$5</f>
        <v>E</v>
      </c>
      <c r="R445" s="134" t="str">
        <f>$A$6&amp;$A$6</f>
        <v>YY</v>
      </c>
      <c r="S445" s="134" t="str">
        <f>$A$8&amp;$A$8</f>
        <v>TT</v>
      </c>
      <c r="T445" s="134" t="str">
        <f>$A$7&amp;$A$7</f>
        <v>RR</v>
      </c>
      <c r="U445" s="134" t="str">
        <f>$A$5&amp;$A$5</f>
        <v>EE</v>
      </c>
    </row>
    <row r="446" spans="1:21" ht="12">
      <c r="A446" s="132" t="s">
        <v>810</v>
      </c>
      <c r="B446" s="133">
        <v>1</v>
      </c>
      <c r="C446" s="134" t="str">
        <f>$A$8</f>
        <v>T</v>
      </c>
      <c r="D446" s="134" t="str">
        <f>$A$5</f>
        <v>E</v>
      </c>
      <c r="E446" s="134" t="str">
        <f>$A$6</f>
        <v>Y</v>
      </c>
      <c r="F446" s="134" t="str">
        <f>$A$7</f>
        <v>R</v>
      </c>
      <c r="G446" s="134" t="str">
        <f>$A$8&amp;$A$8</f>
        <v>TT</v>
      </c>
      <c r="H446" s="134" t="str">
        <f>$A$5&amp;$A$5</f>
        <v>EE</v>
      </c>
      <c r="I446" s="134" t="str">
        <f>$A$6&amp;$A$6</f>
        <v>YY</v>
      </c>
      <c r="J446" s="134" t="str">
        <f>$A$7&amp;$A$7</f>
        <v>RR</v>
      </c>
      <c r="L446" s="132" t="s">
        <v>810</v>
      </c>
      <c r="M446" s="133">
        <v>1</v>
      </c>
      <c r="N446" s="134" t="str">
        <f>$A$5</f>
        <v>E</v>
      </c>
      <c r="O446" s="134" t="str">
        <f>$A$6</f>
        <v>Y</v>
      </c>
      <c r="P446" s="134" t="str">
        <f>$A$7</f>
        <v>R</v>
      </c>
      <c r="Q446" s="134" t="str">
        <f>$A$8</f>
        <v>T</v>
      </c>
      <c r="R446" s="134" t="str">
        <f>$A$5&amp;$A$5</f>
        <v>EE</v>
      </c>
      <c r="S446" s="134" t="str">
        <f>$A$6&amp;$A$6</f>
        <v>YY</v>
      </c>
      <c r="T446" s="134" t="str">
        <f>$A$7&amp;$A$7</f>
        <v>RR</v>
      </c>
      <c r="U446" s="134" t="str">
        <f>$A$8&amp;$A$8</f>
        <v>TT</v>
      </c>
    </row>
    <row r="447" spans="1:21" ht="12">
      <c r="A447" s="132" t="s">
        <v>810</v>
      </c>
      <c r="B447" s="133">
        <v>2</v>
      </c>
      <c r="C447" s="134" t="str">
        <f>$A$5</f>
        <v>E</v>
      </c>
      <c r="D447" s="134" t="str">
        <f>$A$6</f>
        <v>Y</v>
      </c>
      <c r="E447" s="134" t="str">
        <f>$A$8</f>
        <v>T</v>
      </c>
      <c r="F447" s="134" t="str">
        <f>$A$7</f>
        <v>R</v>
      </c>
      <c r="G447" s="134" t="str">
        <f>$A$5&amp;$A$5</f>
        <v>EE</v>
      </c>
      <c r="H447" s="134" t="str">
        <f>$A$6&amp;$A$6</f>
        <v>YY</v>
      </c>
      <c r="I447" s="134" t="str">
        <f>$A$8&amp;$A$8</f>
        <v>TT</v>
      </c>
      <c r="J447" s="134" t="str">
        <f>$A$7&amp;$A$7</f>
        <v>RR</v>
      </c>
      <c r="L447" s="132" t="s">
        <v>810</v>
      </c>
      <c r="M447" s="133">
        <v>2</v>
      </c>
      <c r="N447" s="134" t="str">
        <f>$A$7</f>
        <v>R</v>
      </c>
      <c r="O447" s="134" t="str">
        <f>$A$6</f>
        <v>Y</v>
      </c>
      <c r="P447" s="134" t="str">
        <f>$A$5</f>
        <v>E</v>
      </c>
      <c r="Q447" s="134" t="str">
        <f>$A$8</f>
        <v>T</v>
      </c>
      <c r="R447" s="134" t="str">
        <f>$A$7&amp;$A$7</f>
        <v>RR</v>
      </c>
      <c r="S447" s="134" t="str">
        <f>$A$6&amp;$A$6</f>
        <v>YY</v>
      </c>
      <c r="T447" s="134" t="str">
        <f>$A$5&amp;$A$5</f>
        <v>EE</v>
      </c>
      <c r="U447" s="134" t="str">
        <f>$A$8&amp;$A$8</f>
        <v>TT</v>
      </c>
    </row>
    <row r="448" spans="1:21" ht="12">
      <c r="A448" s="132" t="s">
        <v>810</v>
      </c>
      <c r="B448" s="133">
        <v>3</v>
      </c>
      <c r="C448" s="134" t="str">
        <f>$A$6</f>
        <v>Y</v>
      </c>
      <c r="D448" s="134" t="str">
        <f>$A$7</f>
        <v>R</v>
      </c>
      <c r="E448" s="134" t="str">
        <f>$A$5</f>
        <v>E</v>
      </c>
      <c r="F448" s="134" t="str">
        <f>$A$8</f>
        <v>T</v>
      </c>
      <c r="G448" s="134" t="str">
        <f>$A$6&amp;$A$6</f>
        <v>YY</v>
      </c>
      <c r="H448" s="134" t="str">
        <f>$A$7&amp;$A$7</f>
        <v>RR</v>
      </c>
      <c r="I448" s="134" t="str">
        <f>$A$5&amp;$A$5</f>
        <v>EE</v>
      </c>
      <c r="J448" s="134" t="str">
        <f>$A$8&amp;$A$8</f>
        <v>TT</v>
      </c>
      <c r="L448" s="132" t="s">
        <v>810</v>
      </c>
      <c r="M448" s="133">
        <v>3</v>
      </c>
      <c r="N448" s="134" t="str">
        <f>$A$8</f>
        <v>T</v>
      </c>
      <c r="O448" s="134" t="str">
        <f>$A$7</f>
        <v>R</v>
      </c>
      <c r="P448" s="134" t="str">
        <f>$A$6</f>
        <v>Y</v>
      </c>
      <c r="Q448" s="134" t="str">
        <f>$A$5</f>
        <v>E</v>
      </c>
      <c r="R448" s="134" t="str">
        <f>$A$8&amp;$A$8</f>
        <v>TT</v>
      </c>
      <c r="S448" s="134" t="str">
        <f>$A$7&amp;$A$7</f>
        <v>RR</v>
      </c>
      <c r="T448" s="134" t="str">
        <f>$A$6&amp;$A$6</f>
        <v>YY</v>
      </c>
      <c r="U448" s="134" t="str">
        <f>$A$5&amp;$A$5</f>
        <v>EE</v>
      </c>
    </row>
    <row r="449" spans="1:21" ht="12">
      <c r="A449" s="132" t="s">
        <v>810</v>
      </c>
      <c r="B449" s="133">
        <v>4</v>
      </c>
      <c r="C449" s="134" t="str">
        <f>$A$7</f>
        <v>R</v>
      </c>
      <c r="D449" s="134" t="str">
        <f>$A$8</f>
        <v>T</v>
      </c>
      <c r="E449" s="134" t="str">
        <f>$A$6</f>
        <v>Y</v>
      </c>
      <c r="F449" s="134" t="str">
        <f>$A$5</f>
        <v>E</v>
      </c>
      <c r="G449" s="134" t="str">
        <f>$A$7&amp;$A$7</f>
        <v>RR</v>
      </c>
      <c r="H449" s="134" t="str">
        <f>$A$8&amp;$A$8</f>
        <v>TT</v>
      </c>
      <c r="I449" s="134" t="str">
        <f>$A$6&amp;$A$6</f>
        <v>YY</v>
      </c>
      <c r="J449" s="134" t="str">
        <f>$A$5&amp;$A$5</f>
        <v>EE</v>
      </c>
      <c r="L449" s="132" t="s">
        <v>810</v>
      </c>
      <c r="M449" s="133">
        <v>4</v>
      </c>
      <c r="N449" s="134" t="str">
        <f>$A$5</f>
        <v>E</v>
      </c>
      <c r="O449" s="134" t="str">
        <f>$A$8</f>
        <v>T</v>
      </c>
      <c r="P449" s="134" t="str">
        <f>$A$7</f>
        <v>R</v>
      </c>
      <c r="Q449" s="134" t="str">
        <f>$A$6</f>
        <v>Y</v>
      </c>
      <c r="R449" s="134" t="str">
        <f>$A$5&amp;$A$5</f>
        <v>EE</v>
      </c>
      <c r="S449" s="134" t="str">
        <f>$A$8&amp;$A$8</f>
        <v>TT</v>
      </c>
      <c r="T449" s="134" t="str">
        <f>$A$7&amp;$A$7</f>
        <v>RR</v>
      </c>
      <c r="U449" s="134" t="str">
        <f>$A$6&amp;$A$6</f>
        <v>YY</v>
      </c>
    </row>
    <row r="450" spans="1:21" ht="12">
      <c r="A450" s="132" t="s">
        <v>810</v>
      </c>
      <c r="B450" s="133">
        <v>5</v>
      </c>
      <c r="C450" s="134" t="str">
        <f>$A$8</f>
        <v>T</v>
      </c>
      <c r="D450" s="134" t="str">
        <f>$A$7</f>
        <v>R</v>
      </c>
      <c r="E450" s="134" t="str">
        <f>$A$5</f>
        <v>E</v>
      </c>
      <c r="F450" s="134" t="str">
        <f>$A$6</f>
        <v>Y</v>
      </c>
      <c r="G450" s="134" t="str">
        <f>$A$8&amp;$A$8</f>
        <v>TT</v>
      </c>
      <c r="H450" s="134" t="str">
        <f>$A$7&amp;$A$7</f>
        <v>RR</v>
      </c>
      <c r="I450" s="134" t="str">
        <f>$A$5&amp;$A$5</f>
        <v>EE</v>
      </c>
      <c r="J450" s="134" t="str">
        <f>$A$6&amp;$A$6</f>
        <v>YY</v>
      </c>
      <c r="L450" s="132" t="s">
        <v>810</v>
      </c>
      <c r="M450" s="133">
        <v>5</v>
      </c>
      <c r="N450" s="134" t="str">
        <f>$A$5</f>
        <v>E</v>
      </c>
      <c r="O450" s="134" t="str">
        <f>$A$7</f>
        <v>R</v>
      </c>
      <c r="P450" s="134" t="str">
        <f>$A$6</f>
        <v>Y</v>
      </c>
      <c r="Q450" s="134" t="str">
        <f>$A$8</f>
        <v>T</v>
      </c>
      <c r="R450" s="134" t="str">
        <f>$A$5&amp;$A$5</f>
        <v>EE</v>
      </c>
      <c r="S450" s="134" t="str">
        <f>$A$7&amp;$A$7</f>
        <v>RR</v>
      </c>
      <c r="T450" s="134" t="str">
        <f>$A$6&amp;$A$6</f>
        <v>YY</v>
      </c>
      <c r="U450" s="134" t="str">
        <f>$A$8&amp;$A$8</f>
        <v>TT</v>
      </c>
    </row>
    <row r="451" spans="1:21" ht="12">
      <c r="A451" s="132" t="s">
        <v>811</v>
      </c>
      <c r="B451" s="133">
        <v>1</v>
      </c>
      <c r="C451" s="134" t="str">
        <f>$A$7</f>
        <v>R</v>
      </c>
      <c r="D451" s="134" t="str">
        <f>$A$6</f>
        <v>Y</v>
      </c>
      <c r="E451" s="134" t="str">
        <f>$A$5</f>
        <v>E</v>
      </c>
      <c r="F451" s="134" t="str">
        <f>$A$8</f>
        <v>T</v>
      </c>
      <c r="G451" s="134" t="str">
        <f>$A$7&amp;$A$7</f>
        <v>RR</v>
      </c>
      <c r="H451" s="134" t="str">
        <f>$A$6&amp;$A$6</f>
        <v>YY</v>
      </c>
      <c r="I451" s="134" t="str">
        <f>$A$5&amp;$A$5</f>
        <v>EE</v>
      </c>
      <c r="J451" s="134" t="str">
        <f>$A$8&amp;$A$8</f>
        <v>TT</v>
      </c>
      <c r="L451" s="132" t="s">
        <v>811</v>
      </c>
      <c r="M451" s="133">
        <v>1</v>
      </c>
      <c r="N451" s="134" t="str">
        <f>$A$5</f>
        <v>E</v>
      </c>
      <c r="O451" s="134" t="str">
        <f>$A$8</f>
        <v>T</v>
      </c>
      <c r="P451" s="134" t="str">
        <f>$A$7</f>
        <v>R</v>
      </c>
      <c r="Q451" s="134" t="str">
        <f>$A$6</f>
        <v>Y</v>
      </c>
      <c r="R451" s="134" t="str">
        <f>$A$5&amp;$A$5</f>
        <v>EE</v>
      </c>
      <c r="S451" s="134" t="str">
        <f>$A$8&amp;$A$8</f>
        <v>TT</v>
      </c>
      <c r="T451" s="134" t="str">
        <f>$A$7&amp;$A$7</f>
        <v>RR</v>
      </c>
      <c r="U451" s="134" t="str">
        <f>$A$6&amp;$A$6</f>
        <v>YY</v>
      </c>
    </row>
    <row r="452" spans="1:21" ht="12">
      <c r="A452" s="132" t="s">
        <v>811</v>
      </c>
      <c r="B452" s="133">
        <v>2</v>
      </c>
      <c r="C452" s="134" t="str">
        <f>$A$8</f>
        <v>T</v>
      </c>
      <c r="D452" s="134" t="str">
        <f>$A$5</f>
        <v>E</v>
      </c>
      <c r="E452" s="134" t="str">
        <f>$A$7</f>
        <v>R</v>
      </c>
      <c r="F452" s="134" t="str">
        <f>$A$6</f>
        <v>Y</v>
      </c>
      <c r="G452" s="134" t="str">
        <f>$A$8&amp;$A$8</f>
        <v>TT</v>
      </c>
      <c r="H452" s="134" t="str">
        <f>$A$5&amp;$A$5</f>
        <v>EE</v>
      </c>
      <c r="I452" s="134" t="str">
        <f>$A$7&amp;$A$7</f>
        <v>RR</v>
      </c>
      <c r="J452" s="134" t="str">
        <f>$A$6&amp;$A$6</f>
        <v>YY</v>
      </c>
      <c r="L452" s="132" t="s">
        <v>811</v>
      </c>
      <c r="M452" s="133">
        <v>2</v>
      </c>
      <c r="N452" s="134" t="str">
        <f>$A$7</f>
        <v>R</v>
      </c>
      <c r="O452" s="134" t="str">
        <f>$A$8</f>
        <v>T</v>
      </c>
      <c r="P452" s="134" t="str">
        <f>$A$5</f>
        <v>E</v>
      </c>
      <c r="Q452" s="134" t="str">
        <f>$A$6</f>
        <v>Y</v>
      </c>
      <c r="R452" s="134" t="str">
        <f>$A$7&amp;$A$7</f>
        <v>RR</v>
      </c>
      <c r="S452" s="134" t="str">
        <f>$A$8&amp;$A$8</f>
        <v>TT</v>
      </c>
      <c r="T452" s="134" t="str">
        <f>$A$5&amp;$A$5</f>
        <v>EE</v>
      </c>
      <c r="U452" s="134" t="str">
        <f>$A$6&amp;$A$6</f>
        <v>YY</v>
      </c>
    </row>
    <row r="453" spans="1:21" ht="12">
      <c r="A453" s="132" t="s">
        <v>811</v>
      </c>
      <c r="B453" s="133">
        <v>3</v>
      </c>
      <c r="C453" s="134" t="str">
        <f>$A$6</f>
        <v>Y</v>
      </c>
      <c r="D453" s="134" t="str">
        <f>$A$8</f>
        <v>T</v>
      </c>
      <c r="E453" s="134" t="str">
        <f>$A$5</f>
        <v>E</v>
      </c>
      <c r="F453" s="134" t="str">
        <f>$A$7</f>
        <v>R</v>
      </c>
      <c r="G453" s="134" t="str">
        <f>$A$6&amp;$A$6</f>
        <v>YY</v>
      </c>
      <c r="H453" s="134" t="str">
        <f>$A$8&amp;$A$8</f>
        <v>TT</v>
      </c>
      <c r="I453" s="134" t="str">
        <f>$A$5&amp;$A$5</f>
        <v>EE</v>
      </c>
      <c r="J453" s="134" t="str">
        <f>$A$7&amp;$A$7</f>
        <v>RR</v>
      </c>
      <c r="L453" s="132" t="s">
        <v>811</v>
      </c>
      <c r="M453" s="133">
        <v>3</v>
      </c>
      <c r="N453" s="134" t="str">
        <f>$A$8</f>
        <v>T</v>
      </c>
      <c r="O453" s="134" t="str">
        <f>$A$6</f>
        <v>Y</v>
      </c>
      <c r="P453" s="134" t="str">
        <f>$A$7</f>
        <v>R</v>
      </c>
      <c r="Q453" s="134" t="str">
        <f>$A$5</f>
        <v>E</v>
      </c>
      <c r="R453" s="134" t="str">
        <f>$A$8&amp;$A$8</f>
        <v>TT</v>
      </c>
      <c r="S453" s="134" t="str">
        <f>$A$6&amp;$A$6</f>
        <v>YY</v>
      </c>
      <c r="T453" s="134" t="str">
        <f>$A$7&amp;$A$7</f>
        <v>RR</v>
      </c>
      <c r="U453" s="134" t="str">
        <f>$A$5&amp;$A$5</f>
        <v>EE</v>
      </c>
    </row>
    <row r="454" spans="1:21" ht="12">
      <c r="A454" s="132" t="s">
        <v>811</v>
      </c>
      <c r="B454" s="133">
        <v>4</v>
      </c>
      <c r="C454" s="134" t="str">
        <f>$A$6</f>
        <v>Y</v>
      </c>
      <c r="D454" s="134" t="str">
        <f>$A$7</f>
        <v>R</v>
      </c>
      <c r="E454" s="134" t="str">
        <f>$A$5</f>
        <v>E</v>
      </c>
      <c r="F454" s="134" t="str">
        <f>$A$8</f>
        <v>T</v>
      </c>
      <c r="G454" s="134" t="str">
        <f>$A$6&amp;$A$6</f>
        <v>YY</v>
      </c>
      <c r="H454" s="134" t="str">
        <f>$A$7&amp;$A$7</f>
        <v>RR</v>
      </c>
      <c r="I454" s="134" t="str">
        <f>$A$5&amp;$A$5</f>
        <v>EE</v>
      </c>
      <c r="J454" s="134" t="str">
        <f>$A$8&amp;$A$8</f>
        <v>TT</v>
      </c>
      <c r="L454" s="132" t="s">
        <v>811</v>
      </c>
      <c r="M454" s="133">
        <v>4</v>
      </c>
      <c r="N454" s="134" t="str">
        <f>$A$6</f>
        <v>Y</v>
      </c>
      <c r="O454" s="134" t="str">
        <f>$A$5</f>
        <v>E</v>
      </c>
      <c r="P454" s="134" t="str">
        <f>$A$7</f>
        <v>R</v>
      </c>
      <c r="Q454" s="134" t="str">
        <f>$A$8</f>
        <v>T</v>
      </c>
      <c r="R454" s="134" t="str">
        <f>$A$6&amp;$A$6</f>
        <v>YY</v>
      </c>
      <c r="S454" s="134" t="str">
        <f>$A$5&amp;$A$5</f>
        <v>EE</v>
      </c>
      <c r="T454" s="134" t="str">
        <f>$A$7&amp;$A$7</f>
        <v>RR</v>
      </c>
      <c r="U454" s="134" t="str">
        <f>$A$8&amp;$A$8</f>
        <v>TT</v>
      </c>
    </row>
    <row r="455" spans="1:21" ht="12">
      <c r="A455" s="132" t="s">
        <v>811</v>
      </c>
      <c r="B455" s="133">
        <v>5</v>
      </c>
      <c r="C455" s="134" t="str">
        <f>$A$7</f>
        <v>R</v>
      </c>
      <c r="D455" s="134" t="str">
        <f>$A$6</f>
        <v>Y</v>
      </c>
      <c r="E455" s="134" t="str">
        <f>$A$5</f>
        <v>E</v>
      </c>
      <c r="F455" s="134" t="str">
        <f>$A$8</f>
        <v>T</v>
      </c>
      <c r="G455" s="134" t="str">
        <f>$A$7&amp;$A$7</f>
        <v>RR</v>
      </c>
      <c r="H455" s="134" t="str">
        <f>$A$6&amp;$A$6</f>
        <v>YY</v>
      </c>
      <c r="I455" s="134" t="str">
        <f>$A$5&amp;$A$5</f>
        <v>EE</v>
      </c>
      <c r="J455" s="134" t="str">
        <f>$A$8&amp;$A$8</f>
        <v>TT</v>
      </c>
      <c r="L455" s="132" t="s">
        <v>811</v>
      </c>
      <c r="M455" s="133">
        <v>5</v>
      </c>
      <c r="N455" s="134" t="str">
        <f>$A$5</f>
        <v>E</v>
      </c>
      <c r="O455" s="134" t="str">
        <f>$A$8</f>
        <v>T</v>
      </c>
      <c r="P455" s="134" t="str">
        <f>$A$6</f>
        <v>Y</v>
      </c>
      <c r="Q455" s="134" t="str">
        <f>$A$7</f>
        <v>R</v>
      </c>
      <c r="R455" s="134" t="str">
        <f>$A$5&amp;$A$5</f>
        <v>EE</v>
      </c>
      <c r="S455" s="134" t="str">
        <f>$A$8&amp;$A$8</f>
        <v>TT</v>
      </c>
      <c r="T455" s="134" t="str">
        <f>$A$6&amp;$A$6</f>
        <v>YY</v>
      </c>
      <c r="U455" s="134" t="str">
        <f>$A$7&amp;$A$7</f>
        <v>RR</v>
      </c>
    </row>
  </sheetData>
  <sheetProtection sheet="1" selectLockedCells="1"/>
  <dataValidations count="3">
    <dataValidation type="list" allowBlank="1" showInputMessage="1" showErrorMessage="1" sqref="B1">
      <formula1>matchno</formula1>
    </dataValidation>
    <dataValidation type="list" allowBlank="1" showInputMessage="1" showErrorMessage="1" sqref="C31:C47 C11:C29 E11:E29 G11:G29 I11:I29 I31:I47 G31:G47 E31:E47">
      <formula1>Mencat</formula1>
    </dataValidation>
    <dataValidation type="list" allowBlank="1" showInputMessage="1" showErrorMessage="1" sqref="C50:C68 E50:E68 G50:G68 I50:I68 E70:E86 G70:G86 I70:I86 C70:C86">
      <formula1>Womcat</formula1>
    </dataValidation>
  </dataValidations>
  <printOptions/>
  <pageMargins left="0.17" right="0.14" top="0.38" bottom="0.61" header="0.23" footer="0.5"/>
  <pageSetup horizontalDpi="300" verticalDpi="300" orientation="portrait" paperSize="9" scale="11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R382"/>
  <sheetViews>
    <sheetView tabSelected="1" workbookViewId="0" topLeftCell="A1">
      <selection activeCell="H2" sqref="H2"/>
    </sheetView>
  </sheetViews>
  <sheetFormatPr defaultColWidth="8.8515625" defaultRowHeight="12.75"/>
  <cols>
    <col min="1" max="1" width="8.421875" style="7" customWidth="1"/>
    <col min="2" max="2" width="3.28125" style="13" customWidth="1"/>
    <col min="3" max="3" width="30.140625" style="33" customWidth="1"/>
    <col min="4" max="4" width="6.421875" style="34" customWidth="1"/>
    <col min="5" max="5" width="25.28125" style="33" customWidth="1"/>
    <col min="6" max="6" width="8.8515625" style="12" customWidth="1"/>
    <col min="7" max="7" width="4.28125" style="19" customWidth="1"/>
    <col min="8" max="8" width="6.421875" style="7" customWidth="1"/>
    <col min="9" max="9" width="5.00390625" style="41" hidden="1" customWidth="1"/>
    <col min="10" max="10" width="10.421875" style="7" customWidth="1"/>
    <col min="11" max="14" width="4.00390625" style="41" customWidth="1"/>
    <col min="15" max="15" width="4.28125" style="41" customWidth="1"/>
    <col min="16" max="16" width="8.7109375" style="41" customWidth="1"/>
    <col min="17" max="17" width="8.140625" style="41" customWidth="1"/>
    <col min="18" max="18" width="8.00390625" style="0" hidden="1" customWidth="1"/>
  </cols>
  <sheetData>
    <row r="1" spans="1:10" ht="15.75">
      <c r="A1" s="174" t="str">
        <f>Dec!B2</f>
        <v>Sweatshop Southern Athletics League: Division 2 South - Round 3 - Kingston - 21 June 2014</v>
      </c>
      <c r="B1" s="175"/>
      <c r="C1" s="175"/>
      <c r="D1" s="175"/>
      <c r="E1" s="175"/>
      <c r="F1" s="175"/>
      <c r="G1" s="175"/>
      <c r="H1" s="175"/>
      <c r="I1" s="176"/>
      <c r="J1" s="176"/>
    </row>
    <row r="2" spans="1:17" ht="12.75">
      <c r="A2" s="2"/>
      <c r="B2" s="25"/>
      <c r="C2" s="20" t="s">
        <v>903</v>
      </c>
      <c r="D2" s="21"/>
      <c r="E2" s="20" t="s">
        <v>904</v>
      </c>
      <c r="F2" s="111"/>
      <c r="G2" s="42"/>
      <c r="H2" s="14"/>
      <c r="I2" s="35"/>
      <c r="J2" s="14"/>
      <c r="K2" s="35"/>
      <c r="L2" s="35"/>
      <c r="M2" s="35"/>
      <c r="N2" s="35"/>
      <c r="O2" s="35"/>
      <c r="P2" s="35"/>
      <c r="Q2" s="35"/>
    </row>
    <row r="3" spans="1:17" ht="12.75">
      <c r="A3" s="3"/>
      <c r="B3" s="23">
        <v>1</v>
      </c>
      <c r="C3" s="22" t="str">
        <f>Dec!B6</f>
        <v>Crawley</v>
      </c>
      <c r="D3" s="23"/>
      <c r="E3" s="91">
        <f>$L$369</f>
        <v>219</v>
      </c>
      <c r="F3" s="112" t="str">
        <f>Dec!A6</f>
        <v>Y</v>
      </c>
      <c r="G3" s="42"/>
      <c r="H3" s="14"/>
      <c r="I3" s="35"/>
      <c r="J3" s="14"/>
      <c r="K3" s="35"/>
      <c r="L3" s="35"/>
      <c r="M3" s="35"/>
      <c r="N3" s="35"/>
      <c r="O3" s="35"/>
      <c r="P3" s="35"/>
      <c r="Q3" s="35"/>
    </row>
    <row r="4" spans="1:17" ht="12.75">
      <c r="A4" s="3"/>
      <c r="B4" s="23">
        <v>2</v>
      </c>
      <c r="C4" s="22" t="str">
        <f>Dec!B8</f>
        <v>Tonbridge</v>
      </c>
      <c r="D4" s="23"/>
      <c r="E4" s="91">
        <f>$N$369</f>
        <v>205</v>
      </c>
      <c r="F4" s="112" t="str">
        <f>Dec!A8</f>
        <v>T</v>
      </c>
      <c r="G4" s="42"/>
      <c r="H4" s="14"/>
      <c r="I4" s="35"/>
      <c r="J4" s="14"/>
      <c r="K4" s="35"/>
      <c r="L4" s="35"/>
      <c r="M4" s="35"/>
      <c r="N4" s="35"/>
      <c r="O4" s="35"/>
      <c r="P4" s="35"/>
      <c r="Q4" s="35"/>
    </row>
    <row r="5" spans="1:17" ht="12.75">
      <c r="A5" s="3"/>
      <c r="B5" s="23">
        <v>3</v>
      </c>
      <c r="C5" s="22" t="str">
        <f>Dec!B5</f>
        <v>Epsom &amp; Ewell</v>
      </c>
      <c r="D5" s="23"/>
      <c r="E5" s="91">
        <f>$K$369</f>
        <v>169</v>
      </c>
      <c r="F5" s="112" t="str">
        <f>Dec!A5</f>
        <v>E</v>
      </c>
      <c r="G5" s="42"/>
      <c r="H5" s="14"/>
      <c r="I5" s="35"/>
      <c r="J5" s="14"/>
      <c r="K5" s="35"/>
      <c r="L5" s="35"/>
      <c r="M5" s="35"/>
      <c r="N5" s="35"/>
      <c r="O5" s="35"/>
      <c r="P5" s="35"/>
      <c r="Q5" s="35"/>
    </row>
    <row r="6" spans="1:17" ht="12.75">
      <c r="A6" s="3"/>
      <c r="B6" s="23">
        <v>4</v>
      </c>
      <c r="C6" s="22" t="str">
        <f>Dec!B7</f>
        <v>Team Dorset</v>
      </c>
      <c r="D6" s="23"/>
      <c r="E6" s="91">
        <f>$M$369</f>
        <v>116</v>
      </c>
      <c r="F6" s="112" t="str">
        <f>Dec!A7</f>
        <v>R</v>
      </c>
      <c r="G6" s="42"/>
      <c r="H6" s="14"/>
      <c r="I6" s="35"/>
      <c r="J6" s="14"/>
      <c r="K6" s="35"/>
      <c r="L6" s="35"/>
      <c r="M6" s="35"/>
      <c r="N6" s="35"/>
      <c r="O6" s="35"/>
      <c r="P6" s="35"/>
      <c r="Q6" s="35"/>
    </row>
    <row r="7" spans="1:17" ht="35.25" customHeight="1">
      <c r="A7" s="3"/>
      <c r="B7" s="17"/>
      <c r="C7" s="24"/>
      <c r="D7" s="25"/>
      <c r="E7" s="24"/>
      <c r="F7" s="8"/>
      <c r="G7" s="42"/>
      <c r="H7" s="14"/>
      <c r="I7" s="35"/>
      <c r="J7" s="14"/>
      <c r="K7" s="36" t="str">
        <f>LEFT(Dec!B5,6)</f>
        <v>Epsom </v>
      </c>
      <c r="L7" s="36" t="str">
        <f>LEFT(Dec!B6,6)</f>
        <v>Crawle</v>
      </c>
      <c r="M7" s="36" t="str">
        <f>LEFT(Dec!B7,6)</f>
        <v>Team D</v>
      </c>
      <c r="N7" s="36" t="str">
        <f>LEFT(Dec!B8,6)</f>
        <v>Tonbri</v>
      </c>
      <c r="O7" s="37" t="s">
        <v>902</v>
      </c>
      <c r="P7" s="35"/>
      <c r="Q7" s="35"/>
    </row>
    <row r="8" spans="1:16" ht="12.75">
      <c r="A8" s="105" t="s">
        <v>981</v>
      </c>
      <c r="B8" s="17"/>
      <c r="C8" s="21" t="s">
        <v>674</v>
      </c>
      <c r="D8" s="21" t="s">
        <v>963</v>
      </c>
      <c r="E8" s="16"/>
      <c r="F8" s="9"/>
      <c r="G8" s="42"/>
      <c r="H8" s="14"/>
      <c r="I8" s="35"/>
      <c r="J8" s="35"/>
      <c r="K8" s="38" t="str">
        <f>Dec!A5</f>
        <v>E</v>
      </c>
      <c r="L8" s="38" t="str">
        <f>Dec!A6</f>
        <v>Y</v>
      </c>
      <c r="M8" s="38" t="str">
        <f>Dec!A7</f>
        <v>R</v>
      </c>
      <c r="N8" s="38" t="str">
        <f>Dec!A8</f>
        <v>T</v>
      </c>
      <c r="O8" s="39"/>
      <c r="P8" s="35" t="s">
        <v>909</v>
      </c>
    </row>
    <row r="9" spans="1:18" ht="12.75">
      <c r="A9" s="4" t="s">
        <v>315</v>
      </c>
      <c r="B9" s="107">
        <v>1</v>
      </c>
      <c r="C9" s="26" t="str">
        <f>IF(A9="","",VLOOKUP($A8,IF(LEN(A9)=2,MSB,MSA),VLOOKUP(LEFT(A9,1),Teams,6,FALSE),FALSE))</f>
        <v>Rob Allan</v>
      </c>
      <c r="D9" s="26" t="str">
        <f>IF(A9="","",VLOOKUP($A8,IF(LEN(A9)=2,MSB,MSA),VLOOKUP(LEFT(A9,1),Teams,7,FALSE),FALSE))</f>
        <v>SM</v>
      </c>
      <c r="E9" s="26" t="str">
        <f>IF(A9="","",VLOOKUP(LEFT(A9,1),Teams,2,FALSE))</f>
        <v>Crawley</v>
      </c>
      <c r="F9" s="10" t="s">
        <v>93</v>
      </c>
      <c r="G9" s="43">
        <v>4</v>
      </c>
      <c r="H9" s="14"/>
      <c r="I9" s="35">
        <f>IF(OR(F9="",F9-VLOOKUP($A8,AWstandards,12,FALSE)&gt;0),0,INT(VLOOKUP($A8,AWstandards,11,FALSE)*(VLOOKUP($A8,AWstandards,12,FALSE)-F9)^VLOOKUP($A8,AWstandards,13,FALSE)+0.5))</f>
        <v>674</v>
      </c>
      <c r="J9" s="32" t="str">
        <f>IF(F9="","",IF(F9-VLOOKUP($A8,AWstandards,VLOOKUP(D9,Age,2,FALSE),FALSE)&gt;0,"","aw"))</f>
        <v>aw</v>
      </c>
      <c r="K9" s="39">
        <f aca="true" t="shared" si="0" ref="K9:N12">IF($A9="","",IF(LEFT($A9,1)=K$8,$G9,""))</f>
      </c>
      <c r="L9" s="39">
        <f t="shared" si="0"/>
        <v>4</v>
      </c>
      <c r="M9" s="39">
        <f t="shared" si="0"/>
      </c>
      <c r="N9" s="39">
        <f t="shared" si="0"/>
      </c>
      <c r="O9" s="39"/>
      <c r="P9" s="35"/>
      <c r="R9" t="s">
        <v>792</v>
      </c>
    </row>
    <row r="10" spans="1:18" ht="12.75">
      <c r="A10" s="4" t="s">
        <v>327</v>
      </c>
      <c r="B10" s="107">
        <v>2</v>
      </c>
      <c r="C10" s="26" t="str">
        <f>IF(A10="","",VLOOKUP($A8,IF(LEN(A10)=2,MSB,MSA),VLOOKUP(LEFT(A10,1),Teams,6,FALSE),FALSE))</f>
        <v>Ed Hall</v>
      </c>
      <c r="D10" s="26" t="str">
        <f>IF(A10="","",VLOOKUP($A8,IF(LEN(A10)=2,MSB,MSA),VLOOKUP(LEFT(A10,1),Teams,7,FALSE),FALSE))</f>
        <v>U20</v>
      </c>
      <c r="E10" s="26" t="str">
        <f>IF(A10="","",VLOOKUP(LEFT(A10,1),Teams,2,FALSE))</f>
        <v>Tonbridge</v>
      </c>
      <c r="F10" s="10" t="s">
        <v>93</v>
      </c>
      <c r="G10" s="43">
        <v>3</v>
      </c>
      <c r="H10" s="14"/>
      <c r="I10" s="35">
        <f>IF(OR(F10="",F10-VLOOKUP($A8,AWstandards,12,FALSE)&gt;0),0,INT(VLOOKUP($A8,AWstandards,11,FALSE)*(VLOOKUP($A8,AWstandards,12,FALSE)-F10)^VLOOKUP($A8,AWstandards,13,FALSE)+0.5))</f>
        <v>674</v>
      </c>
      <c r="J10" s="32" t="str">
        <f>IF(F10="","",IF(F10-VLOOKUP($A8,AWstandards,VLOOKUP(D10,Age,2,FALSE),FALSE)&gt;0,"","aw"))</f>
        <v>aw</v>
      </c>
      <c r="K10" s="39">
        <f t="shared" si="0"/>
      </c>
      <c r="L10" s="39">
        <f t="shared" si="0"/>
      </c>
      <c r="M10" s="39">
        <f t="shared" si="0"/>
      </c>
      <c r="N10" s="39">
        <f t="shared" si="0"/>
        <v>3</v>
      </c>
      <c r="O10" s="39"/>
      <c r="P10" s="35"/>
      <c r="R10" t="s">
        <v>792</v>
      </c>
    </row>
    <row r="11" spans="1:18" ht="12.75">
      <c r="A11" s="4" t="s">
        <v>320</v>
      </c>
      <c r="B11" s="107">
        <v>3</v>
      </c>
      <c r="C11" s="26" t="str">
        <f>IF(A11="","",VLOOKUP($A8,IF(LEN(A11)=2,MSB,MSA),VLOOKUP(LEFT(A11,1),Teams,6,FALSE),FALSE))</f>
        <v>Jack Rees</v>
      </c>
      <c r="D11" s="26" t="str">
        <f>IF(A11="","",VLOOKUP($A8,IF(LEN(A11)=2,MSB,MSA),VLOOKUP(LEFT(A11,1),Teams,7,FALSE),FALSE))</f>
        <v>U17</v>
      </c>
      <c r="E11" s="26" t="str">
        <f>IF(A11="","",VLOOKUP(LEFT(A11,1),Teams,2,FALSE))</f>
        <v>Team Dorset</v>
      </c>
      <c r="F11" s="10" t="s">
        <v>94</v>
      </c>
      <c r="G11" s="43">
        <v>2</v>
      </c>
      <c r="H11" s="14"/>
      <c r="I11" s="35">
        <f>IF(OR(F11="",F11-VLOOKUP($A8,AWstandards,12,FALSE)&gt;0),0,INT(VLOOKUP($A8,AWstandards,11,FALSE)*(VLOOKUP($A8,AWstandards,12,FALSE)-F11)^VLOOKUP($A8,AWstandards,13,FALSE)+0.5))</f>
        <v>587</v>
      </c>
      <c r="J11" s="32" t="str">
        <f>IF(F11="","",IF(F11-VLOOKUP($A8,AWstandards,VLOOKUP(D11,Age,2,FALSE),FALSE)&gt;0,"","aw"))</f>
        <v>aw</v>
      </c>
      <c r="K11" s="39">
        <f t="shared" si="0"/>
      </c>
      <c r="L11" s="39">
        <f t="shared" si="0"/>
      </c>
      <c r="M11" s="39">
        <f t="shared" si="0"/>
        <v>2</v>
      </c>
      <c r="N11" s="39">
        <f t="shared" si="0"/>
      </c>
      <c r="O11" s="39"/>
      <c r="P11" s="35"/>
      <c r="R11" t="s">
        <v>792</v>
      </c>
    </row>
    <row r="12" spans="1:18" ht="12.75">
      <c r="A12" s="4" t="s">
        <v>312</v>
      </c>
      <c r="B12" s="107">
        <v>4</v>
      </c>
      <c r="C12" s="26" t="str">
        <f>IF(A12="","",VLOOKUP($A8,IF(LEN(A12)=2,MSB,MSA),VLOOKUP(LEFT(A12,1),Teams,6,FALSE),FALSE))</f>
        <v>Jordan Shaw</v>
      </c>
      <c r="D12" s="26" t="str">
        <f>IF(A12="","",VLOOKUP($A8,IF(LEN(A12)=2,MSB,MSA),VLOOKUP(LEFT(A12,1),Teams,7,FALSE),FALSE))</f>
        <v>U17</v>
      </c>
      <c r="E12" s="26" t="str">
        <f>IF(A12="","",VLOOKUP(LEFT(A12,1),Teams,2,FALSE))</f>
        <v>Epsom &amp; Ewell</v>
      </c>
      <c r="F12" s="10" t="s">
        <v>1037</v>
      </c>
      <c r="G12" s="43">
        <v>1</v>
      </c>
      <c r="H12" s="14"/>
      <c r="I12" s="35">
        <f>IF(OR(F12="",F12-VLOOKUP($A8,AWstandards,12,FALSE)&gt;0),0,INT(VLOOKUP($A8,AWstandards,11,FALSE)*(VLOOKUP($A8,AWstandards,12,FALSE)-F12)^VLOOKUP($A8,AWstandards,13,FALSE)+0.5))</f>
        <v>412</v>
      </c>
      <c r="J12" s="32">
        <f>IF(F12="","",IF(F12-VLOOKUP($A8,AWstandards,VLOOKUP(D12,Age,2,FALSE),FALSE)&gt;0,"","aw"))</f>
      </c>
      <c r="K12" s="39">
        <f t="shared" si="0"/>
        <v>1</v>
      </c>
      <c r="L12" s="39">
        <f t="shared" si="0"/>
      </c>
      <c r="M12" s="39">
        <f t="shared" si="0"/>
      </c>
      <c r="N12" s="39">
        <f t="shared" si="0"/>
      </c>
      <c r="O12" s="39">
        <f>10-SUM(K9:N12)</f>
        <v>0</v>
      </c>
      <c r="P12" s="35"/>
      <c r="R12" t="s">
        <v>792</v>
      </c>
    </row>
    <row r="13" spans="1:16" ht="12.75">
      <c r="A13" s="105" t="s">
        <v>981</v>
      </c>
      <c r="B13" s="17"/>
      <c r="C13" s="27" t="s">
        <v>675</v>
      </c>
      <c r="D13" s="28" t="s">
        <v>963</v>
      </c>
      <c r="E13" s="16"/>
      <c r="F13" s="9"/>
      <c r="G13" s="42"/>
      <c r="H13" s="14"/>
      <c r="I13" s="35"/>
      <c r="J13" s="35"/>
      <c r="K13" s="39"/>
      <c r="L13" s="39"/>
      <c r="M13" s="39"/>
      <c r="N13" s="39"/>
      <c r="O13" s="39"/>
      <c r="P13" s="35" t="s">
        <v>910</v>
      </c>
    </row>
    <row r="14" spans="1:18" ht="12.75">
      <c r="A14" s="5" t="s">
        <v>321</v>
      </c>
      <c r="B14" s="107">
        <v>1</v>
      </c>
      <c r="C14" s="26" t="str">
        <f>IF(A14="","",VLOOKUP($A13,IF(LEN(A14)=2,MSB,MSA),VLOOKUP(LEFT(A14,1),Teams,6,FALSE),FALSE))</f>
        <v>Tapiwanashe Mupfupi</v>
      </c>
      <c r="D14" s="26" t="str">
        <f>IF(A14="","",VLOOKUP($A13,IF(LEN(A14)=2,MSB,MSA),VLOOKUP(LEFT(A14,1),Teams,7,FALSE),FALSE))</f>
        <v>U20</v>
      </c>
      <c r="E14" s="26" t="str">
        <f>IF(A14="","",VLOOKUP(LEFT(A14,1),Teams,2,FALSE))</f>
        <v>Crawley</v>
      </c>
      <c r="F14" s="10" t="s">
        <v>95</v>
      </c>
      <c r="G14" s="43">
        <v>4</v>
      </c>
      <c r="H14" s="14"/>
      <c r="I14" s="35">
        <f>IF(OR(F14="",F14-VLOOKUP($A13,AWstandards,12,FALSE)&gt;0),0,INT(VLOOKUP($A13,AWstandards,11,FALSE)*(VLOOKUP($A13,AWstandards,12,FALSE)-F14)^VLOOKUP($A13,AWstandards,13,FALSE)+0.5))</f>
        <v>390</v>
      </c>
      <c r="J14" s="32">
        <f>IF(F14="","",IF(F14-VLOOKUP($A13,AWstandards,VLOOKUP(D14,Age,2,FALSE),FALSE)&gt;0,"","aw"))</f>
      </c>
      <c r="K14" s="39">
        <f aca="true" t="shared" si="1" ref="K14:N29">IF($A14="","",IF(LEFT($A14,1)=K$8,$G14,""))</f>
      </c>
      <c r="L14" s="39">
        <f t="shared" si="1"/>
        <v>4</v>
      </c>
      <c r="M14" s="39">
        <f t="shared" si="1"/>
      </c>
      <c r="N14" s="39">
        <f t="shared" si="1"/>
      </c>
      <c r="O14" s="39"/>
      <c r="P14" s="35"/>
      <c r="R14" t="s">
        <v>792</v>
      </c>
    </row>
    <row r="15" spans="1:18" ht="12.75">
      <c r="A15" s="5" t="s">
        <v>322</v>
      </c>
      <c r="B15" s="107">
        <v>2</v>
      </c>
      <c r="C15" s="26" t="str">
        <f>IF(A15="","",VLOOKUP($A13,IF(LEN(A15)=2,MSB,MSA),VLOOKUP(LEFT(A15,1),Teams,6,FALSE),FALSE))</f>
        <v>Zac Cannon</v>
      </c>
      <c r="D15" s="26" t="str">
        <f>IF(A15="","",VLOOKUP($A13,IF(LEN(A15)=2,MSB,MSA),VLOOKUP(LEFT(A15,1),Teams,7,FALSE),FALSE))</f>
        <v>U20</v>
      </c>
      <c r="E15" s="26" t="str">
        <f>IF(A15="","",VLOOKUP(LEFT(A15,1),Teams,2,FALSE))</f>
        <v>Tonbridge</v>
      </c>
      <c r="F15" s="10" t="s">
        <v>96</v>
      </c>
      <c r="G15" s="43">
        <v>3</v>
      </c>
      <c r="H15" s="14"/>
      <c r="I15" s="35">
        <f>IF(OR(F15="",F15-VLOOKUP($A13,AWstandards,12,FALSE)&gt;0),0,INT(VLOOKUP($A13,AWstandards,11,FALSE)*(VLOOKUP($A13,AWstandards,12,FALSE)-F15)^VLOOKUP($A13,AWstandards,13,FALSE)+0.5))</f>
        <v>348</v>
      </c>
      <c r="J15" s="32">
        <f>IF(F15="","",IF(F15-VLOOKUP($A13,AWstandards,VLOOKUP(D15,Age,2,FALSE),FALSE)&gt;0,"","aw"))</f>
      </c>
      <c r="K15" s="39">
        <f t="shared" si="1"/>
      </c>
      <c r="L15" s="39">
        <f t="shared" si="1"/>
      </c>
      <c r="M15" s="39">
        <f t="shared" si="1"/>
      </c>
      <c r="N15" s="39">
        <f t="shared" si="1"/>
        <v>3</v>
      </c>
      <c r="O15" s="39"/>
      <c r="P15" s="35"/>
      <c r="R15" t="s">
        <v>792</v>
      </c>
    </row>
    <row r="16" spans="1:18" ht="12.75">
      <c r="A16" s="5" t="s">
        <v>313</v>
      </c>
      <c r="B16" s="107">
        <v>3</v>
      </c>
      <c r="C16" s="26" t="str">
        <f>IF(A16="","",VLOOKUP($A13,IF(LEN(A16)=2,MSB,MSA),VLOOKUP(LEFT(A16,1),Teams,6,FALSE),FALSE))</f>
        <v>Martin Lay</v>
      </c>
      <c r="D16" s="26" t="str">
        <f>IF(A16="","",VLOOKUP($A13,IF(LEN(A16)=2,MSB,MSA),VLOOKUP(LEFT(A16,1),Teams,7,FALSE),FALSE))</f>
        <v>U23</v>
      </c>
      <c r="E16" s="26" t="str">
        <f>IF(A16="","",VLOOKUP(LEFT(A16,1),Teams,2,FALSE))</f>
        <v>Epsom &amp; Ewell</v>
      </c>
      <c r="F16" s="10" t="s">
        <v>97</v>
      </c>
      <c r="G16" s="43">
        <v>2</v>
      </c>
      <c r="H16" s="14"/>
      <c r="I16" s="35">
        <f>IF(OR(F16="",F16-VLOOKUP($A13,AWstandards,12,FALSE)&gt;0),0,INT(VLOOKUP($A13,AWstandards,11,FALSE)*(VLOOKUP($A13,AWstandards,12,FALSE)-F16)^VLOOKUP($A13,AWstandards,13,FALSE)+0.5))</f>
        <v>256</v>
      </c>
      <c r="J16" s="32">
        <f>IF(F16="","",IF(F16-VLOOKUP($A13,AWstandards,VLOOKUP(D16,Age,2,FALSE),FALSE)&gt;0,"","aw"))</f>
      </c>
      <c r="K16" s="39">
        <f t="shared" si="1"/>
        <v>2</v>
      </c>
      <c r="L16" s="39">
        <f t="shared" si="1"/>
      </c>
      <c r="M16" s="39">
        <f t="shared" si="1"/>
      </c>
      <c r="N16" s="39">
        <f t="shared" si="1"/>
      </c>
      <c r="O16" s="39"/>
      <c r="P16" s="35"/>
      <c r="R16" t="s">
        <v>792</v>
      </c>
    </row>
    <row r="17" spans="1:18" ht="12.75">
      <c r="A17" s="5" t="s">
        <v>328</v>
      </c>
      <c r="B17" s="107">
        <v>4</v>
      </c>
      <c r="C17" s="26" t="str">
        <f>IF(A17="","",VLOOKUP($A13,IF(LEN(A17)=2,MSB,MSA),VLOOKUP(LEFT(A17,1),Teams,6,FALSE),FALSE))</f>
        <v>Liam Winton</v>
      </c>
      <c r="D17" s="26" t="str">
        <f>IF(A17="","",VLOOKUP($A13,IF(LEN(A17)=2,MSB,MSA),VLOOKUP(LEFT(A17,1),Teams,7,FALSE),FALSE))</f>
        <v>U17</v>
      </c>
      <c r="E17" s="26" t="str">
        <f>IF(A17="","",VLOOKUP(LEFT(A17,1),Teams,2,FALSE))</f>
        <v>Team Dorset</v>
      </c>
      <c r="F17" s="10" t="s">
        <v>98</v>
      </c>
      <c r="G17" s="43">
        <v>1</v>
      </c>
      <c r="H17" s="14"/>
      <c r="I17" s="35">
        <f>IF(OR(F17="",F17-VLOOKUP($A13,AWstandards,12,FALSE)&gt;0),0,INT(VLOOKUP($A13,AWstandards,11,FALSE)*(VLOOKUP($A13,AWstandards,12,FALSE)-F17)^VLOOKUP($A13,AWstandards,13,FALSE)+0.5))</f>
        <v>180</v>
      </c>
      <c r="J17" s="32">
        <f>IF(F17="","",IF(F17-VLOOKUP($A13,AWstandards,VLOOKUP(D17,Age,2,FALSE),FALSE)&gt;0,"","aw"))</f>
      </c>
      <c r="K17" s="39">
        <f t="shared" si="1"/>
      </c>
      <c r="L17" s="39">
        <f t="shared" si="1"/>
      </c>
      <c r="M17" s="39">
        <f t="shared" si="1"/>
        <v>1</v>
      </c>
      <c r="N17" s="39">
        <f t="shared" si="1"/>
      </c>
      <c r="O17" s="39">
        <f>10-SUM(K14:N17)</f>
        <v>0</v>
      </c>
      <c r="P17" s="35"/>
      <c r="R17" t="s">
        <v>792</v>
      </c>
    </row>
    <row r="18" spans="1:16" ht="12.75">
      <c r="A18" s="105" t="s">
        <v>982</v>
      </c>
      <c r="B18" s="17"/>
      <c r="C18" s="28" t="s">
        <v>676</v>
      </c>
      <c r="D18" s="28" t="s">
        <v>963</v>
      </c>
      <c r="E18" s="16"/>
      <c r="F18" s="9"/>
      <c r="G18" s="42"/>
      <c r="H18" s="14"/>
      <c r="I18" s="35"/>
      <c r="J18" s="35"/>
      <c r="K18" s="39"/>
      <c r="L18" s="39"/>
      <c r="M18" s="39"/>
      <c r="N18" s="39"/>
      <c r="O18" s="39"/>
      <c r="P18" s="35" t="s">
        <v>911</v>
      </c>
    </row>
    <row r="19" spans="1:18" ht="12.75">
      <c r="A19" s="5" t="s">
        <v>327</v>
      </c>
      <c r="B19" s="107">
        <v>1</v>
      </c>
      <c r="C19" s="26" t="str">
        <f>IF(A19="","",VLOOKUP($A18,IF(LEN(A19)=2,MSB,MSA),VLOOKUP(LEFT(A19,1),Teams,6,FALSE),FALSE))</f>
        <v>Ed Hall</v>
      </c>
      <c r="D19" s="26" t="str">
        <f>IF(A19="","",VLOOKUP($A18,IF(LEN(A19)=2,MSB,MSA),VLOOKUP(LEFT(A19,1),Teams,7,FALSE),FALSE))</f>
        <v>U20</v>
      </c>
      <c r="E19" s="26" t="str">
        <f>IF(A19="","",VLOOKUP(LEFT(A19,1),Teams,2,FALSE))</f>
        <v>Tonbridge</v>
      </c>
      <c r="F19" s="10" t="s">
        <v>151</v>
      </c>
      <c r="G19" s="43">
        <v>4</v>
      </c>
      <c r="H19" s="14"/>
      <c r="I19" s="35">
        <f>IF(OR(F19="",F19-VLOOKUP($A18,AWstandards,12,FALSE)&gt;0),0,INT(VLOOKUP($A18,AWstandards,11,FALSE)*(VLOOKUP($A18,AWstandards,12,FALSE)-F19)^VLOOKUP($A18,AWstandards,13,FALSE)+0.5))</f>
        <v>615</v>
      </c>
      <c r="J19" s="32" t="str">
        <f>IF(F19="","",IF(F19-VLOOKUP($A18,AWstandards,VLOOKUP(D19,Age,2,FALSE),FALSE)&gt;0,"","aw"))</f>
        <v>aw</v>
      </c>
      <c r="K19" s="39">
        <f t="shared" si="1"/>
      </c>
      <c r="L19" s="39">
        <f t="shared" si="1"/>
      </c>
      <c r="M19" s="39">
        <f t="shared" si="1"/>
      </c>
      <c r="N19" s="39">
        <f t="shared" si="1"/>
        <v>4</v>
      </c>
      <c r="O19" s="39"/>
      <c r="P19" s="35"/>
      <c r="R19" t="s">
        <v>796</v>
      </c>
    </row>
    <row r="20" spans="1:18" ht="12.75">
      <c r="A20" s="5" t="s">
        <v>315</v>
      </c>
      <c r="B20" s="107">
        <v>2</v>
      </c>
      <c r="C20" s="26" t="str">
        <f>IF(A20="","",VLOOKUP($A18,IF(LEN(A20)=2,MSB,MSA),VLOOKUP(LEFT(A20,1),Teams,6,FALSE),FALSE))</f>
        <v>Rob Allan</v>
      </c>
      <c r="D20" s="26" t="str">
        <f>IF(A20="","",VLOOKUP($A18,IF(LEN(A20)=2,MSB,MSA),VLOOKUP(LEFT(A20,1),Teams,7,FALSE),FALSE))</f>
        <v>SM</v>
      </c>
      <c r="E20" s="26" t="str">
        <f>IF(A20="","",VLOOKUP(LEFT(A20,1),Teams,2,FALSE))</f>
        <v>Crawley</v>
      </c>
      <c r="F20" s="10" t="s">
        <v>1023</v>
      </c>
      <c r="G20" s="43">
        <v>3</v>
      </c>
      <c r="H20" s="14"/>
      <c r="I20" s="35">
        <f>IF(OR(F20="",F20-VLOOKUP($A18,AWstandards,12,FALSE)&gt;0),0,INT(VLOOKUP($A18,AWstandards,11,FALSE)*(VLOOKUP($A18,AWstandards,12,FALSE)-F20)^VLOOKUP($A18,AWstandards,13,FALSE)+0.5))</f>
        <v>602</v>
      </c>
      <c r="J20" s="32" t="str">
        <f>IF(F20="","",IF(F20-VLOOKUP($A18,AWstandards,VLOOKUP(D20,Age,2,FALSE),FALSE)&gt;0,"","aw"))</f>
        <v>aw</v>
      </c>
      <c r="K20" s="39">
        <f t="shared" si="1"/>
      </c>
      <c r="L20" s="39">
        <f t="shared" si="1"/>
        <v>3</v>
      </c>
      <c r="M20" s="39">
        <f t="shared" si="1"/>
      </c>
      <c r="N20" s="39">
        <f t="shared" si="1"/>
      </c>
      <c r="O20" s="39"/>
      <c r="P20" s="35"/>
      <c r="R20" t="s">
        <v>796</v>
      </c>
    </row>
    <row r="21" spans="1:18" ht="12.75">
      <c r="A21" s="5" t="s">
        <v>320</v>
      </c>
      <c r="B21" s="107">
        <v>3</v>
      </c>
      <c r="C21" s="26" t="str">
        <f>IF(A21="","",VLOOKUP($A18,IF(LEN(A21)=2,MSB,MSA),VLOOKUP(LEFT(A21,1),Teams,6,FALSE),FALSE))</f>
        <v>Aiden Turner</v>
      </c>
      <c r="D21" s="26" t="str">
        <f>IF(A21="","",VLOOKUP($A18,IF(LEN(A21)=2,MSB,MSA),VLOOKUP(LEFT(A21,1),Teams,7,FALSE),FALSE))</f>
        <v>U17</v>
      </c>
      <c r="E21" s="26" t="str">
        <f>IF(A21="","",VLOOKUP(LEFT(A21,1),Teams,2,FALSE))</f>
        <v>Team Dorset</v>
      </c>
      <c r="F21" s="10" t="s">
        <v>178</v>
      </c>
      <c r="G21" s="43">
        <v>2</v>
      </c>
      <c r="H21" s="14"/>
      <c r="I21" s="35">
        <f>IF(OR(F21="",F21-VLOOKUP($A18,AWstandards,12,FALSE)&gt;0),0,INT(VLOOKUP($A18,AWstandards,11,FALSE)*(VLOOKUP($A18,AWstandards,12,FALSE)-F21)^VLOOKUP($A18,AWstandards,13,FALSE)+0.5))</f>
        <v>499</v>
      </c>
      <c r="J21" s="32" t="str">
        <f>IF(F21="","",IF(F21-VLOOKUP($A18,AWstandards,VLOOKUP(D21,Age,2,FALSE),FALSE)&gt;0,"","aw"))</f>
        <v>aw</v>
      </c>
      <c r="K21" s="39">
        <f t="shared" si="1"/>
      </c>
      <c r="L21" s="39">
        <f t="shared" si="1"/>
      </c>
      <c r="M21" s="39">
        <f t="shared" si="1"/>
        <v>2</v>
      </c>
      <c r="N21" s="39">
        <f t="shared" si="1"/>
      </c>
      <c r="O21" s="39"/>
      <c r="P21" s="35"/>
      <c r="R21" t="s">
        <v>796</v>
      </c>
    </row>
    <row r="22" spans="1:18" ht="12.75">
      <c r="A22" s="5" t="s">
        <v>312</v>
      </c>
      <c r="B22" s="107">
        <v>4</v>
      </c>
      <c r="C22" s="26" t="str">
        <f>IF(A22="","",VLOOKUP($A18,IF(LEN(A22)=2,MSB,MSA),VLOOKUP(LEFT(A22,1),Teams,6,FALSE),FALSE))</f>
        <v>Jordan Shaw</v>
      </c>
      <c r="D22" s="26" t="str">
        <f>IF(A22="","",VLOOKUP($A18,IF(LEN(A22)=2,MSB,MSA),VLOOKUP(LEFT(A22,1),Teams,7,FALSE),FALSE))</f>
        <v>U17</v>
      </c>
      <c r="E22" s="26" t="str">
        <f>IF(A22="","",VLOOKUP(LEFT(A22,1),Teams,2,FALSE))</f>
        <v>Epsom &amp; Ewell</v>
      </c>
      <c r="F22" s="10" t="s">
        <v>179</v>
      </c>
      <c r="G22" s="43">
        <v>1</v>
      </c>
      <c r="H22" s="14"/>
      <c r="I22" s="35">
        <f>IF(OR(F22="",F22-VLOOKUP($A18,AWstandards,12,FALSE)&gt;0),0,INT(VLOOKUP($A18,AWstandards,11,FALSE)*(VLOOKUP($A18,AWstandards,12,FALSE)-F22)^VLOOKUP($A18,AWstandards,13,FALSE)+0.5))</f>
        <v>263</v>
      </c>
      <c r="J22" s="32">
        <f>IF(F22="","",IF(F22-VLOOKUP($A18,AWstandards,VLOOKUP(D22,Age,2,FALSE),FALSE)&gt;0,"","aw"))</f>
      </c>
      <c r="K22" s="39">
        <f t="shared" si="1"/>
        <v>1</v>
      </c>
      <c r="L22" s="39">
        <f t="shared" si="1"/>
      </c>
      <c r="M22" s="39">
        <f t="shared" si="1"/>
      </c>
      <c r="N22" s="39">
        <f t="shared" si="1"/>
      </c>
      <c r="O22" s="39">
        <f>10-SUM(K19:N22)</f>
        <v>0</v>
      </c>
      <c r="P22" s="35"/>
      <c r="R22" t="s">
        <v>796</v>
      </c>
    </row>
    <row r="23" spans="1:16" ht="12.75">
      <c r="A23" s="105" t="s">
        <v>982</v>
      </c>
      <c r="B23" s="17"/>
      <c r="C23" s="27" t="s">
        <v>677</v>
      </c>
      <c r="D23" s="28" t="s">
        <v>963</v>
      </c>
      <c r="E23" s="16"/>
      <c r="F23" s="9"/>
      <c r="G23" s="42"/>
      <c r="H23" s="14"/>
      <c r="I23" s="35"/>
      <c r="J23" s="35"/>
      <c r="K23" s="39"/>
      <c r="L23" s="39"/>
      <c r="M23" s="39"/>
      <c r="N23" s="39"/>
      <c r="O23" s="39"/>
      <c r="P23" s="35" t="s">
        <v>912</v>
      </c>
    </row>
    <row r="24" spans="1:18" ht="12.75">
      <c r="A24" s="5" t="s">
        <v>328</v>
      </c>
      <c r="B24" s="107">
        <v>1</v>
      </c>
      <c r="C24" s="26" t="str">
        <f>IF(A24="","",VLOOKUP($A23,IF(LEN(A24)=2,MSB,MSA),VLOOKUP(LEFT(A24,1),Teams,6,FALSE),FALSE))</f>
        <v>Jack Rees</v>
      </c>
      <c r="D24" s="26" t="str">
        <f>IF(A24="","",VLOOKUP($A23,IF(LEN(A24)=2,MSB,MSA),VLOOKUP(LEFT(A24,1),Teams,7,FALSE),FALSE))</f>
        <v>U17</v>
      </c>
      <c r="E24" s="26" t="str">
        <f>IF(A24="","",VLOOKUP(LEFT(A24,1),Teams,2,FALSE))</f>
        <v>Team Dorset</v>
      </c>
      <c r="F24" s="10" t="s">
        <v>180</v>
      </c>
      <c r="G24" s="43">
        <v>4</v>
      </c>
      <c r="H24" s="14"/>
      <c r="I24" s="35">
        <f>IF(OR(F24="",F24-VLOOKUP($A23,AWstandards,12,FALSE)&gt;0),0,INT(VLOOKUP($A23,AWstandards,11,FALSE)*(VLOOKUP($A23,AWstandards,12,FALSE)-F24)^VLOOKUP($A23,AWstandards,13,FALSE)+0.5))</f>
        <v>536</v>
      </c>
      <c r="J24" s="32" t="str">
        <f>IF(F24="","",IF(F24-VLOOKUP($A23,AWstandards,VLOOKUP(D24,Age,2,FALSE),FALSE)&gt;0,"","aw"))</f>
        <v>aw</v>
      </c>
      <c r="K24" s="39">
        <f t="shared" si="1"/>
      </c>
      <c r="L24" s="39">
        <f t="shared" si="1"/>
      </c>
      <c r="M24" s="39">
        <f t="shared" si="1"/>
        <v>4</v>
      </c>
      <c r="N24" s="39">
        <f t="shared" si="1"/>
      </c>
      <c r="O24" s="39"/>
      <c r="P24" s="35"/>
      <c r="R24" t="s">
        <v>796</v>
      </c>
    </row>
    <row r="25" spans="1:18" ht="12.75">
      <c r="A25" s="5" t="s">
        <v>321</v>
      </c>
      <c r="B25" s="107">
        <v>2</v>
      </c>
      <c r="C25" s="26" t="str">
        <f>IF(A25="","",VLOOKUP($A23,IF(LEN(A25)=2,MSB,MSA),VLOOKUP(LEFT(A25,1),Teams,6,FALSE),FALSE))</f>
        <v>Tapiwanashe Mupfupi</v>
      </c>
      <c r="D25" s="26" t="str">
        <f>IF(A25="","",VLOOKUP($A23,IF(LEN(A25)=2,MSB,MSA),VLOOKUP(LEFT(A25,1),Teams,7,FALSE),FALSE))</f>
        <v>U20</v>
      </c>
      <c r="E25" s="26" t="str">
        <f>IF(A25="","",VLOOKUP(LEFT(A25,1),Teams,2,FALSE))</f>
        <v>Crawley</v>
      </c>
      <c r="F25" s="10" t="s">
        <v>181</v>
      </c>
      <c r="G25" s="43">
        <v>3</v>
      </c>
      <c r="H25" s="14"/>
      <c r="I25" s="35">
        <f>IF(OR(F25="",F25-VLOOKUP($A23,AWstandards,12,FALSE)&gt;0),0,INT(VLOOKUP($A23,AWstandards,11,FALSE)*(VLOOKUP($A23,AWstandards,12,FALSE)-F25)^VLOOKUP($A23,AWstandards,13,FALSE)+0.5))</f>
        <v>523</v>
      </c>
      <c r="J25" s="32">
        <f>IF(F25="","",IF(F25-VLOOKUP($A23,AWstandards,VLOOKUP(D25,Age,2,FALSE),FALSE)&gt;0,"","aw"))</f>
      </c>
      <c r="K25" s="39">
        <f t="shared" si="1"/>
      </c>
      <c r="L25" s="39">
        <f t="shared" si="1"/>
        <v>3</v>
      </c>
      <c r="M25" s="39">
        <f t="shared" si="1"/>
      </c>
      <c r="N25" s="39">
        <f t="shared" si="1"/>
      </c>
      <c r="O25" s="39"/>
      <c r="P25" s="35"/>
      <c r="R25" t="s">
        <v>796</v>
      </c>
    </row>
    <row r="26" spans="1:18" ht="12.75">
      <c r="A26" s="5" t="s">
        <v>322</v>
      </c>
      <c r="B26" s="107">
        <v>3</v>
      </c>
      <c r="C26" s="26" t="str">
        <f>IF(A26="","",VLOOKUP($A23,IF(LEN(A26)=2,MSB,MSA),VLOOKUP(LEFT(A26,1),Teams,6,FALSE),FALSE))</f>
        <v>Steven Tester</v>
      </c>
      <c r="D26" s="26" t="str">
        <f>IF(A26="","",VLOOKUP($A23,IF(LEN(A26)=2,MSB,MSA),VLOOKUP(LEFT(A26,1),Teams,7,FALSE),FALSE))</f>
        <v>SM</v>
      </c>
      <c r="E26" s="26" t="str">
        <f>IF(A26="","",VLOOKUP(LEFT(A26,1),Teams,2,FALSE))</f>
        <v>Tonbridge</v>
      </c>
      <c r="F26" s="10" t="s">
        <v>182</v>
      </c>
      <c r="G26" s="43">
        <v>2</v>
      </c>
      <c r="H26" s="14"/>
      <c r="I26" s="35">
        <f>IF(OR(F26="",F26-VLOOKUP($A23,AWstandards,12,FALSE)&gt;0),0,INT(VLOOKUP($A23,AWstandards,11,FALSE)*(VLOOKUP($A23,AWstandards,12,FALSE)-F26)^VLOOKUP($A23,AWstandards,13,FALSE)+0.5))</f>
        <v>511</v>
      </c>
      <c r="J26" s="32">
        <f>IF(F26="","",IF(F26-VLOOKUP($A23,AWstandards,VLOOKUP(D26,Age,2,FALSE),FALSE)&gt;0,"","aw"))</f>
      </c>
      <c r="K26" s="39">
        <f t="shared" si="1"/>
      </c>
      <c r="L26" s="39">
        <f t="shared" si="1"/>
      </c>
      <c r="M26" s="39">
        <f t="shared" si="1"/>
      </c>
      <c r="N26" s="39">
        <f t="shared" si="1"/>
        <v>2</v>
      </c>
      <c r="O26" s="39"/>
      <c r="P26" s="35"/>
      <c r="R26" t="s">
        <v>796</v>
      </c>
    </row>
    <row r="27" spans="1:18" ht="12.75">
      <c r="A27" s="5" t="s">
        <v>313</v>
      </c>
      <c r="B27" s="107" t="s">
        <v>975</v>
      </c>
      <c r="C27" s="26" t="str">
        <f>IF(A27="","",VLOOKUP($A23,IF(LEN(A27)=2,MSB,MSA),VLOOKUP(LEFT(A27,1),Teams,6,FALSE),FALSE))</f>
        <v>Jack Amselem</v>
      </c>
      <c r="D27" s="26" t="str">
        <f>IF(A27="","",VLOOKUP($A23,IF(LEN(A27)=2,MSB,MSA),VLOOKUP(LEFT(A27,1),Teams,7,FALSE),FALSE))</f>
        <v>U17</v>
      </c>
      <c r="E27" s="26" t="str">
        <f>IF(A27="","",VLOOKUP(LEFT(A27,1),Teams,2,FALSE))</f>
        <v>Epsom &amp; Ewell</v>
      </c>
      <c r="F27" s="10" t="s">
        <v>183</v>
      </c>
      <c r="G27" s="43">
        <v>1</v>
      </c>
      <c r="H27" s="14"/>
      <c r="I27" s="35">
        <f>IF(OR(F27="",F27-VLOOKUP($A23,AWstandards,12,FALSE)&gt;0),0,INT(VLOOKUP($A23,AWstandards,11,FALSE)*(VLOOKUP($A23,AWstandards,12,FALSE)-F27)^VLOOKUP($A23,AWstandards,13,FALSE)+0.5))</f>
        <v>326</v>
      </c>
      <c r="J27" s="32">
        <f>IF(F27="","",IF(F27-VLOOKUP($A23,AWstandards,VLOOKUP(D27,Age,2,FALSE),FALSE)&gt;0,"","aw"))</f>
      </c>
      <c r="K27" s="39">
        <f t="shared" si="1"/>
        <v>1</v>
      </c>
      <c r="L27" s="39">
        <f t="shared" si="1"/>
      </c>
      <c r="M27" s="39">
        <f t="shared" si="1"/>
      </c>
      <c r="N27" s="39">
        <f t="shared" si="1"/>
      </c>
      <c r="O27" s="39">
        <f>10-SUM(K24:N27)</f>
        <v>0</v>
      </c>
      <c r="P27" s="35"/>
      <c r="R27" t="s">
        <v>796</v>
      </c>
    </row>
    <row r="28" spans="1:16" ht="12.75">
      <c r="A28" s="105" t="s">
        <v>983</v>
      </c>
      <c r="B28" s="17"/>
      <c r="C28" s="28" t="s">
        <v>678</v>
      </c>
      <c r="D28" s="28"/>
      <c r="E28" s="29"/>
      <c r="F28" s="9"/>
      <c r="G28" s="42"/>
      <c r="H28" s="14"/>
      <c r="I28" s="35"/>
      <c r="J28" s="35"/>
      <c r="K28" s="39"/>
      <c r="L28" s="39"/>
      <c r="M28" s="39"/>
      <c r="N28" s="39"/>
      <c r="O28" s="39"/>
      <c r="P28" s="35" t="s">
        <v>913</v>
      </c>
    </row>
    <row r="29" spans="1:18" ht="12.75">
      <c r="A29" s="6" t="s">
        <v>315</v>
      </c>
      <c r="B29" s="107">
        <v>1</v>
      </c>
      <c r="C29" s="26" t="str">
        <f>IF(A29="","",VLOOKUP($A28,IF(LEN(A29)=2,MSB,MSA),VLOOKUP(LEFT(A29,1),Teams,6,FALSE),FALSE))</f>
        <v>George Grainger</v>
      </c>
      <c r="D29" s="26" t="str">
        <f>IF(A29="","",VLOOKUP($A28,IF(LEN(A29)=2,MSB,MSA),VLOOKUP(LEFT(A29,1),Teams,7,FALSE),FALSE))</f>
        <v>U23</v>
      </c>
      <c r="E29" s="26" t="str">
        <f>IF(A29="","",VLOOKUP(LEFT(A29,1),Teams,2,FALSE))</f>
        <v>Crawley</v>
      </c>
      <c r="F29" s="10" t="s">
        <v>125</v>
      </c>
      <c r="G29" s="43">
        <v>4</v>
      </c>
      <c r="H29" s="14"/>
      <c r="I29" s="35">
        <f>IF(OR(F29="",F29-VLOOKUP($A28,AWstandards,12,FALSE)&gt;0),0,INT(VLOOKUP($A28,AWstandards,11,FALSE)*(VLOOKUP($A28,AWstandards,12,FALSE)-F29)^VLOOKUP($A28,AWstandards,13,FALSE)+0.5))</f>
        <v>637</v>
      </c>
      <c r="J29" s="32" t="str">
        <f>IF(F29="","",IF(F29-VLOOKUP($A28,AWstandards,VLOOKUP(D29,Age,2,FALSE),FALSE)&gt;0,"","aw"))</f>
        <v>aw</v>
      </c>
      <c r="K29" s="39">
        <f t="shared" si="1"/>
      </c>
      <c r="L29" s="39">
        <f t="shared" si="1"/>
        <v>4</v>
      </c>
      <c r="M29" s="39">
        <f t="shared" si="1"/>
      </c>
      <c r="N29" s="39">
        <f t="shared" si="1"/>
      </c>
      <c r="O29" s="39"/>
      <c r="P29" s="35"/>
      <c r="R29" t="s">
        <v>799</v>
      </c>
    </row>
    <row r="30" spans="1:18" ht="12.75">
      <c r="A30" s="6" t="s">
        <v>327</v>
      </c>
      <c r="B30" s="107">
        <v>2</v>
      </c>
      <c r="C30" s="26" t="str">
        <f>IF(A30="","",VLOOKUP($A28,IF(LEN(A30)=2,MSB,MSA),VLOOKUP(LEFT(A30,1),Teams,6,FALSE),FALSE))</f>
        <v>Henry Marshall</v>
      </c>
      <c r="D30" s="26" t="str">
        <f>IF(A30="","",VLOOKUP($A28,IF(LEN(A30)=2,MSB,MSA),VLOOKUP(LEFT(A30,1),Teams,7,FALSE),FALSE))</f>
        <v>U17</v>
      </c>
      <c r="E30" s="26" t="str">
        <f>IF(A30="","",VLOOKUP(LEFT(A30,1),Teams,2,FALSE))</f>
        <v>Tonbridge</v>
      </c>
      <c r="F30" s="10" t="s">
        <v>126</v>
      </c>
      <c r="G30" s="43">
        <v>3</v>
      </c>
      <c r="H30" s="14"/>
      <c r="I30" s="35">
        <f>IF(OR(F30="",F30-VLOOKUP($A28,AWstandards,12,FALSE)&gt;0),0,INT(VLOOKUP($A28,AWstandards,11,FALSE)*(VLOOKUP($A28,AWstandards,12,FALSE)-F30)^VLOOKUP($A28,AWstandards,13,FALSE)+0.5))</f>
        <v>578</v>
      </c>
      <c r="J30" s="32" t="str">
        <f>IF(F30="","",IF(F30-VLOOKUP($A28,AWstandards,VLOOKUP(D30,Age,2,FALSE),FALSE)&gt;0,"","aw"))</f>
        <v>aw</v>
      </c>
      <c r="K30" s="39">
        <f aca="true" t="shared" si="2" ref="K30:N32">IF($A30="","",IF(LEFT($A30,1)=K$8,$G30,""))</f>
      </c>
      <c r="L30" s="39">
        <f t="shared" si="2"/>
      </c>
      <c r="M30" s="39">
        <f t="shared" si="2"/>
      </c>
      <c r="N30" s="39">
        <f t="shared" si="2"/>
        <v>3</v>
      </c>
      <c r="O30" s="39"/>
      <c r="P30" s="35"/>
      <c r="R30" t="s">
        <v>799</v>
      </c>
    </row>
    <row r="31" spans="1:18" ht="12.75">
      <c r="A31" s="6" t="s">
        <v>312</v>
      </c>
      <c r="B31" s="107">
        <v>3</v>
      </c>
      <c r="C31" s="26" t="str">
        <f>IF(A31="","",VLOOKUP($A28,IF(LEN(A31)=2,MSB,MSA),VLOOKUP(LEFT(A31,1),Teams,6,FALSE),FALSE))</f>
        <v>Alex Hawkins</v>
      </c>
      <c r="D31" s="26" t="str">
        <f>IF(A31="","",VLOOKUP($A28,IF(LEN(A31)=2,MSB,MSA),VLOOKUP(LEFT(A31,1),Teams,7,FALSE),FALSE))</f>
        <v>SM</v>
      </c>
      <c r="E31" s="26" t="str">
        <f>IF(A31="","",VLOOKUP(LEFT(A31,1),Teams,2,FALSE))</f>
        <v>Epsom &amp; Ewell</v>
      </c>
      <c r="F31" s="10" t="s">
        <v>127</v>
      </c>
      <c r="G31" s="43">
        <v>2</v>
      </c>
      <c r="H31" s="14"/>
      <c r="I31" s="35">
        <f>IF(OR(F31="",F31-VLOOKUP($A28,AWstandards,12,FALSE)&gt;0),0,INT(VLOOKUP($A28,AWstandards,11,FALSE)*(VLOOKUP($A28,AWstandards,12,FALSE)-F31)^VLOOKUP($A28,AWstandards,13,FALSE)+0.5))</f>
        <v>481</v>
      </c>
      <c r="J31" s="32">
        <f>IF(F31="","",IF(F31-VLOOKUP($A28,AWstandards,VLOOKUP(D31,Age,2,FALSE),FALSE)&gt;0,"","aw"))</f>
      </c>
      <c r="K31" s="39">
        <f t="shared" si="2"/>
        <v>2</v>
      </c>
      <c r="L31" s="39">
        <f t="shared" si="2"/>
      </c>
      <c r="M31" s="39">
        <f t="shared" si="2"/>
      </c>
      <c r="N31" s="39">
        <f t="shared" si="2"/>
      </c>
      <c r="O31" s="39"/>
      <c r="P31" s="35"/>
      <c r="R31" t="s">
        <v>799</v>
      </c>
    </row>
    <row r="32" spans="1:18" ht="12.75">
      <c r="A32" s="6" t="s">
        <v>320</v>
      </c>
      <c r="B32" s="107">
        <v>4</v>
      </c>
      <c r="C32" s="26" t="str">
        <f>IF(A32="","",VLOOKUP($A28,IF(LEN(A32)=2,MSB,MSA),VLOOKUP(LEFT(A32,1),Teams,6,FALSE),FALSE))</f>
        <v>David Pearson</v>
      </c>
      <c r="D32" s="26" t="str">
        <f>IF(A32="","",VLOOKUP($A28,IF(LEN(A32)=2,MSB,MSA),VLOOKUP(LEFT(A32,1),Teams,7,FALSE),FALSE))</f>
        <v>M45</v>
      </c>
      <c r="E32" s="26" t="str">
        <f>IF(A32="","",VLOOKUP(LEFT(A32,1),Teams,2,FALSE))</f>
        <v>Team Dorset</v>
      </c>
      <c r="F32" s="10" t="s">
        <v>128</v>
      </c>
      <c r="G32" s="43">
        <v>1</v>
      </c>
      <c r="H32" s="14"/>
      <c r="I32" s="35">
        <f>IF(OR(F32="",F32-VLOOKUP($A28,AWstandards,12,FALSE)&gt;0),0,INT(VLOOKUP($A28,AWstandards,11,FALSE)*(VLOOKUP($A28,AWstandards,12,FALSE)-F32)^VLOOKUP($A28,AWstandards,13,FALSE)+0.5))</f>
        <v>0</v>
      </c>
      <c r="J32" s="32">
        <f>IF(F32="","",IF(F32-VLOOKUP($A28,AWstandards,VLOOKUP(D32,Age,2,FALSE),FALSE)&gt;0,"","aw"))</f>
      </c>
      <c r="K32" s="39">
        <f t="shared" si="2"/>
      </c>
      <c r="L32" s="39">
        <f t="shared" si="2"/>
      </c>
      <c r="M32" s="39">
        <f t="shared" si="2"/>
        <v>1</v>
      </c>
      <c r="N32" s="39">
        <f t="shared" si="2"/>
      </c>
      <c r="O32" s="39">
        <f>10-SUM(K29:N32)</f>
        <v>0</v>
      </c>
      <c r="P32" s="35"/>
      <c r="R32" t="s">
        <v>799</v>
      </c>
    </row>
    <row r="33" spans="1:16" ht="12.75">
      <c r="A33" s="105" t="s">
        <v>983</v>
      </c>
      <c r="B33" s="17"/>
      <c r="C33" s="27" t="s">
        <v>679</v>
      </c>
      <c r="D33" s="28"/>
      <c r="E33" s="29"/>
      <c r="F33" s="9"/>
      <c r="G33" s="42"/>
      <c r="H33" s="14"/>
      <c r="I33" s="35"/>
      <c r="J33" s="35"/>
      <c r="K33" s="39"/>
      <c r="L33" s="39"/>
      <c r="M33" s="39"/>
      <c r="N33" s="39"/>
      <c r="O33" s="39"/>
      <c r="P33" s="35" t="s">
        <v>914</v>
      </c>
    </row>
    <row r="34" spans="1:18" ht="12.75">
      <c r="A34" s="4" t="s">
        <v>322</v>
      </c>
      <c r="B34" s="107">
        <v>1</v>
      </c>
      <c r="C34" s="26" t="str">
        <f>IF(A34="","",VLOOKUP($A33,IF(LEN(A34)=2,MSB,MSA),VLOOKUP(LEFT(A34,1),Teams,6,FALSE),FALSE))</f>
        <v>Tom Cox</v>
      </c>
      <c r="D34" s="26" t="str">
        <f>IF(A34="","",VLOOKUP($A33,IF(LEN(A34)=2,MSB,MSA),VLOOKUP(LEFT(A34,1),Teams,7,FALSE),FALSE))</f>
        <v>U23</v>
      </c>
      <c r="E34" s="26" t="str">
        <f>IF(A34="","",VLOOKUP(LEFT(A34,1),Teams,2,FALSE))</f>
        <v>Tonbridge</v>
      </c>
      <c r="F34" s="10" t="s">
        <v>125</v>
      </c>
      <c r="G34" s="43">
        <v>4</v>
      </c>
      <c r="H34" s="14"/>
      <c r="I34" s="35">
        <f>IF(OR(F34="",F34-VLOOKUP($A33,AWstandards,12,FALSE)&gt;0),0,INT(VLOOKUP($A33,AWstandards,11,FALSE)*(VLOOKUP($A33,AWstandards,12,FALSE)-F34)^VLOOKUP($A33,AWstandards,13,FALSE)+0.5))</f>
        <v>637</v>
      </c>
      <c r="J34" s="32" t="str">
        <f>IF(F34="","",IF(F34-VLOOKUP($A33,AWstandards,VLOOKUP(D34,Age,2,FALSE),FALSE)&gt;0,"","aw"))</f>
        <v>aw</v>
      </c>
      <c r="K34" s="39">
        <f aca="true" t="shared" si="3" ref="K34:N37">IF($A34="","",IF(LEFT($A34,1)=K$8,$G34,""))</f>
      </c>
      <c r="L34" s="39">
        <f t="shared" si="3"/>
      </c>
      <c r="M34" s="39">
        <f t="shared" si="3"/>
      </c>
      <c r="N34" s="39">
        <f t="shared" si="3"/>
        <v>4</v>
      </c>
      <c r="O34" s="39"/>
      <c r="P34" s="35"/>
      <c r="R34" t="s">
        <v>799</v>
      </c>
    </row>
    <row r="35" spans="1:18" ht="12.75">
      <c r="A35" s="4" t="s">
        <v>321</v>
      </c>
      <c r="B35" s="107">
        <v>2</v>
      </c>
      <c r="C35" s="26" t="str">
        <f>IF(A35="","",VLOOKUP($A33,IF(LEN(A35)=2,MSB,MSA),VLOOKUP(LEFT(A35,1),Teams,6,FALSE),FALSE))</f>
        <v>Owen Wyeth</v>
      </c>
      <c r="D35" s="26" t="str">
        <f>IF(A35="","",VLOOKUP($A33,IF(LEN(A35)=2,MSB,MSA),VLOOKUP(LEFT(A35,1),Teams,7,FALSE),FALSE))</f>
        <v>U17</v>
      </c>
      <c r="E35" s="26" t="str">
        <f>IF(A35="","",VLOOKUP(LEFT(A35,1),Teams,2,FALSE))</f>
        <v>Crawley</v>
      </c>
      <c r="F35" s="10" t="s">
        <v>129</v>
      </c>
      <c r="G35" s="43">
        <v>3</v>
      </c>
      <c r="H35" s="14"/>
      <c r="I35" s="35">
        <f>IF(OR(F35="",F35-VLOOKUP($A33,AWstandards,12,FALSE)&gt;0),0,INT(VLOOKUP($A33,AWstandards,11,FALSE)*(VLOOKUP($A33,AWstandards,12,FALSE)-F35)^VLOOKUP($A33,AWstandards,13,FALSE)+0.5))</f>
        <v>486</v>
      </c>
      <c r="J35" s="32" t="str">
        <f>IF(F35="","",IF(F35-VLOOKUP($A33,AWstandards,VLOOKUP(D35,Age,2,FALSE),FALSE)&gt;0,"","aw"))</f>
        <v>aw</v>
      </c>
      <c r="K35" s="39">
        <f t="shared" si="3"/>
      </c>
      <c r="L35" s="39">
        <f t="shared" si="3"/>
        <v>3</v>
      </c>
      <c r="M35" s="39">
        <f t="shared" si="3"/>
      </c>
      <c r="N35" s="39">
        <f t="shared" si="3"/>
      </c>
      <c r="O35" s="39"/>
      <c r="P35" s="35"/>
      <c r="R35" t="s">
        <v>799</v>
      </c>
    </row>
    <row r="36" spans="1:18" ht="12.75">
      <c r="A36" s="4" t="s">
        <v>313</v>
      </c>
      <c r="B36" s="107">
        <v>3</v>
      </c>
      <c r="C36" s="26" t="str">
        <f>IF(A36="","",VLOOKUP($A33,IF(LEN(A36)=2,MSB,MSA),VLOOKUP(LEFT(A36,1),Teams,6,FALSE),FALSE))</f>
        <v>Jack Amselem</v>
      </c>
      <c r="D36" s="26" t="str">
        <f>IF(A36="","",VLOOKUP($A33,IF(LEN(A36)=2,MSB,MSA),VLOOKUP(LEFT(A36,1),Teams,7,FALSE),FALSE))</f>
        <v>U17</v>
      </c>
      <c r="E36" s="26" t="str">
        <f>IF(A36="","",VLOOKUP(LEFT(A36,1),Teams,2,FALSE))</f>
        <v>Epsom &amp; Ewell</v>
      </c>
      <c r="F36" s="10" t="s">
        <v>130</v>
      </c>
      <c r="G36" s="43">
        <v>2</v>
      </c>
      <c r="H36" s="14"/>
      <c r="I36" s="35">
        <f>IF(OR(F36="",F36-VLOOKUP($A33,AWstandards,12,FALSE)&gt;0),0,INT(VLOOKUP($A33,AWstandards,11,FALSE)*(VLOOKUP($A33,AWstandards,12,FALSE)-F36)^VLOOKUP($A33,AWstandards,13,FALSE)+0.5))</f>
        <v>463</v>
      </c>
      <c r="J36" s="32">
        <f>IF(F36="","",IF(F36-VLOOKUP($A33,AWstandards,VLOOKUP(D36,Age,2,FALSE),FALSE)&gt;0,"","aw"))</f>
      </c>
      <c r="K36" s="39">
        <f t="shared" si="3"/>
        <v>2</v>
      </c>
      <c r="L36" s="39">
        <f t="shared" si="3"/>
      </c>
      <c r="M36" s="39">
        <f t="shared" si="3"/>
      </c>
      <c r="N36" s="39">
        <f t="shared" si="3"/>
      </c>
      <c r="O36" s="39"/>
      <c r="P36" s="35"/>
      <c r="R36" t="s">
        <v>799</v>
      </c>
    </row>
    <row r="37" spans="1:18" ht="12.75">
      <c r="A37" s="4" t="s">
        <v>328</v>
      </c>
      <c r="B37" s="107">
        <v>4</v>
      </c>
      <c r="C37" s="26" t="str">
        <f>IF(A37="","",VLOOKUP($A33,IF(LEN(A37)=2,MSB,MSA),VLOOKUP(LEFT(A37,1),Teams,6,FALSE),FALSE))</f>
        <v>Glyn Davies</v>
      </c>
      <c r="D37" s="26" t="str">
        <f>IF(A37="","",VLOOKUP($A33,IF(LEN(A37)=2,MSB,MSA),VLOOKUP(LEFT(A37,1),Teams,7,FALSE),FALSE))</f>
        <v>M60</v>
      </c>
      <c r="E37" s="26" t="str">
        <f>IF(A37="","",VLOOKUP(LEFT(A37,1),Teams,2,FALSE))</f>
        <v>Team Dorset</v>
      </c>
      <c r="F37" s="10" t="s">
        <v>131</v>
      </c>
      <c r="G37" s="43">
        <v>1</v>
      </c>
      <c r="H37" s="14"/>
      <c r="I37" s="35">
        <f>IF(OR(F37="",F37-VLOOKUP($A33,AWstandards,12,FALSE)&gt;0),0,INT(VLOOKUP($A33,AWstandards,11,FALSE)*(VLOOKUP($A33,AWstandards,12,FALSE)-F37)^VLOOKUP($A33,AWstandards,13,FALSE)+0.5))</f>
        <v>17</v>
      </c>
      <c r="J37" s="32">
        <f>IF(F37="","",IF(F37-VLOOKUP($A33,AWstandards,VLOOKUP(D37,Age,2,FALSE),FALSE)&gt;0,"","aw"))</f>
      </c>
      <c r="K37" s="39">
        <f t="shared" si="3"/>
      </c>
      <c r="L37" s="39">
        <f t="shared" si="3"/>
      </c>
      <c r="M37" s="39">
        <f t="shared" si="3"/>
        <v>1</v>
      </c>
      <c r="N37" s="39">
        <f t="shared" si="3"/>
      </c>
      <c r="O37" s="39">
        <f>10-SUM(K34:N37)</f>
        <v>0</v>
      </c>
      <c r="P37" s="35"/>
      <c r="R37" t="s">
        <v>799</v>
      </c>
    </row>
    <row r="38" spans="1:16" ht="12.75">
      <c r="A38" s="105" t="s">
        <v>984</v>
      </c>
      <c r="B38" s="17"/>
      <c r="C38" s="28" t="s">
        <v>680</v>
      </c>
      <c r="D38" s="28"/>
      <c r="E38" s="29"/>
      <c r="F38" s="8"/>
      <c r="G38" s="42"/>
      <c r="H38" s="14"/>
      <c r="I38" s="35"/>
      <c r="J38" s="40"/>
      <c r="K38" s="39"/>
      <c r="L38" s="39"/>
      <c r="M38" s="39"/>
      <c r="N38" s="39"/>
      <c r="O38" s="39"/>
      <c r="P38" s="35" t="s">
        <v>915</v>
      </c>
    </row>
    <row r="39" spans="1:18" ht="12.75">
      <c r="A39" s="4" t="s">
        <v>327</v>
      </c>
      <c r="B39" s="107">
        <v>1</v>
      </c>
      <c r="C39" s="26" t="str">
        <f>IF(A39="","",VLOOKUP($A38,IF(LEN(A39)=2,MSB,MSA),VLOOKUP(LEFT(A39,1),Teams,6,FALSE),FALSE))</f>
        <v>Tom Cox</v>
      </c>
      <c r="D39" s="26" t="str">
        <f>IF(A39="","",VLOOKUP($A38,IF(LEN(A39)=2,MSB,MSA),VLOOKUP(LEFT(A39,1),Teams,7,FALSE),FALSE))</f>
        <v>U20</v>
      </c>
      <c r="E39" s="26" t="str">
        <f>IF(A39="","",VLOOKUP(LEFT(A39,1),Teams,2,FALSE))</f>
        <v>Tonbridge</v>
      </c>
      <c r="F39" s="10" t="s">
        <v>67</v>
      </c>
      <c r="G39" s="43">
        <v>4</v>
      </c>
      <c r="H39" s="14"/>
      <c r="I39" s="35">
        <f>IF(OR(F39="",TEXT(F39,"[s].0")-VLOOKUP($A38,AWstandards,12,FALSE)&gt;0),0,INT(VLOOKUP($A38,AWstandards,11,FALSE)*(VLOOKUP($A38,AWstandards,12,FALSE)-TEXT(F39,"[s].0"))^VLOOKUP($A38,AWstandards,13,FALSE)+0.5))</f>
        <v>661</v>
      </c>
      <c r="J39" s="32" t="str">
        <f>IF(F39="","",IF(F39-VLOOKUP($A38,AWstandards,VLOOKUP(D39,Age,2,FALSE),FALSE)&gt;0,"","aw"))</f>
        <v>aw</v>
      </c>
      <c r="K39" s="39">
        <f aca="true" t="shared" si="4" ref="K39:N54">IF($A39="","",IF(LEFT($A39,1)=K$8,$G39,""))</f>
      </c>
      <c r="L39" s="39">
        <f t="shared" si="4"/>
      </c>
      <c r="M39" s="39">
        <f t="shared" si="4"/>
      </c>
      <c r="N39" s="39">
        <f t="shared" si="4"/>
        <v>4</v>
      </c>
      <c r="O39" s="39"/>
      <c r="P39" s="35"/>
      <c r="R39" t="s">
        <v>803</v>
      </c>
    </row>
    <row r="40" spans="1:18" ht="12.75">
      <c r="A40" s="4" t="s">
        <v>315</v>
      </c>
      <c r="B40" s="107">
        <v>2</v>
      </c>
      <c r="C40" s="26" t="str">
        <f>IF(A40="","",VLOOKUP($A38,IF(LEN(A40)=2,MSB,MSA),VLOOKUP(LEFT(A40,1),Teams,6,FALSE),FALSE))</f>
        <v>Owen Wyeth</v>
      </c>
      <c r="D40" s="26" t="str">
        <f>IF(A40="","",VLOOKUP($A38,IF(LEN(A40)=2,MSB,MSA),VLOOKUP(LEFT(A40,1),Teams,7,FALSE),FALSE))</f>
        <v>U17</v>
      </c>
      <c r="E40" s="26" t="str">
        <f>IF(A40="","",VLOOKUP(LEFT(A40,1),Teams,2,FALSE))</f>
        <v>Crawley</v>
      </c>
      <c r="F40" s="10" t="s">
        <v>68</v>
      </c>
      <c r="G40" s="43">
        <v>3</v>
      </c>
      <c r="H40" s="14"/>
      <c r="I40" s="35">
        <f>IF(OR(F40="",TEXT(F40,"[s].0")-VLOOKUP($A38,AWstandards,12,FALSE)&gt;0),0,INT(VLOOKUP($A38,AWstandards,11,FALSE)*(VLOOKUP($A38,AWstandards,12,FALSE)-TEXT(F40,"[s].0"))^VLOOKUP($A38,AWstandards,13,FALSE)+0.5))</f>
        <v>608</v>
      </c>
      <c r="J40" s="32" t="str">
        <f>IF(F40="","",IF(F40-VLOOKUP($A38,AWstandards,VLOOKUP(D40,Age,2,FALSE),FALSE)&gt;0,"","aw"))</f>
        <v>aw</v>
      </c>
      <c r="K40" s="39">
        <f t="shared" si="4"/>
      </c>
      <c r="L40" s="39">
        <f t="shared" si="4"/>
        <v>3</v>
      </c>
      <c r="M40" s="39">
        <f t="shared" si="4"/>
      </c>
      <c r="N40" s="39">
        <f t="shared" si="4"/>
      </c>
      <c r="O40" s="39"/>
      <c r="P40" s="35"/>
      <c r="R40" t="s">
        <v>803</v>
      </c>
    </row>
    <row r="41" spans="1:18" ht="12.75">
      <c r="A41" s="4" t="s">
        <v>320</v>
      </c>
      <c r="B41" s="107">
        <v>3</v>
      </c>
      <c r="C41" s="26" t="str">
        <f>IF(A41="","",VLOOKUP($A38,IF(LEN(A41)=2,MSB,MSA),VLOOKUP(LEFT(A41,1),Teams,6,FALSE),FALSE))</f>
        <v>Piers Copeland</v>
      </c>
      <c r="D41" s="26" t="str">
        <f>IF(A41="","",VLOOKUP($A38,IF(LEN(A41)=2,MSB,MSA),VLOOKUP(LEFT(A41,1),Teams,7,FALSE),FALSE))</f>
        <v>U17</v>
      </c>
      <c r="E41" s="26" t="str">
        <f>IF(A41="","",VLOOKUP(LEFT(A41,1),Teams,2,FALSE))</f>
        <v>Team Dorset</v>
      </c>
      <c r="F41" s="10" t="s">
        <v>69</v>
      </c>
      <c r="G41" s="43">
        <v>2</v>
      </c>
      <c r="H41" s="14"/>
      <c r="I41" s="35">
        <f>IF(OR(F41="",TEXT(F41,"[s].0")-VLOOKUP($A38,AWstandards,12,FALSE)&gt;0),0,INT(VLOOKUP($A38,AWstandards,11,FALSE)*(VLOOKUP($A38,AWstandards,12,FALSE)-TEXT(F41,"[s].0"))^VLOOKUP($A38,AWstandards,13,FALSE)+0.5))</f>
        <v>561</v>
      </c>
      <c r="J41" s="32" t="str">
        <f>IF(F41="","",IF(F41-VLOOKUP($A38,AWstandards,VLOOKUP(D41,Age,2,FALSE),FALSE)&gt;0,"","aw"))</f>
        <v>aw</v>
      </c>
      <c r="K41" s="39">
        <f t="shared" si="4"/>
      </c>
      <c r="L41" s="39">
        <f t="shared" si="4"/>
      </c>
      <c r="M41" s="39">
        <f t="shared" si="4"/>
        <v>2</v>
      </c>
      <c r="N41" s="39">
        <f t="shared" si="4"/>
      </c>
      <c r="O41" s="39"/>
      <c r="P41" s="35"/>
      <c r="R41" t="s">
        <v>803</v>
      </c>
    </row>
    <row r="42" spans="1:18" ht="12.75">
      <c r="A42" s="4" t="s">
        <v>312</v>
      </c>
      <c r="B42" s="107">
        <v>4</v>
      </c>
      <c r="C42" s="26" t="str">
        <f>IF(A42="","",VLOOKUP($A38,IF(LEN(A42)=2,MSB,MSA),VLOOKUP(LEFT(A42,1),Teams,6,FALSE),FALSE))</f>
        <v>Stuart Flack</v>
      </c>
      <c r="D42" s="26" t="str">
        <f>IF(A42="","",VLOOKUP($A38,IF(LEN(A42)=2,MSB,MSA),VLOOKUP(LEFT(A42,1),Teams,7,FALSE),FALSE))</f>
        <v>SM</v>
      </c>
      <c r="E42" s="26" t="str">
        <f>IF(A42="","",VLOOKUP(LEFT(A42,1),Teams,2,FALSE))</f>
        <v>Epsom &amp; Ewell</v>
      </c>
      <c r="F42" s="10" t="s">
        <v>70</v>
      </c>
      <c r="G42" s="43">
        <v>1</v>
      </c>
      <c r="H42" s="14"/>
      <c r="I42" s="35">
        <f>IF(OR(F42="",TEXT(F42,"[s].0")-VLOOKUP($A38,AWstandards,12,FALSE)&gt;0),0,INT(VLOOKUP($A38,AWstandards,11,FALSE)*(VLOOKUP($A38,AWstandards,12,FALSE)-TEXT(F42,"[s].0"))^VLOOKUP($A38,AWstandards,13,FALSE)+0.5))</f>
        <v>467</v>
      </c>
      <c r="J42" s="32">
        <f>IF(F42="","",IF(F42-VLOOKUP($A38,AWstandards,VLOOKUP(D42,Age,2,FALSE),FALSE)&gt;0,"","aw"))</f>
      </c>
      <c r="K42" s="39">
        <f t="shared" si="4"/>
        <v>1</v>
      </c>
      <c r="L42" s="39">
        <f t="shared" si="4"/>
      </c>
      <c r="M42" s="39">
        <f t="shared" si="4"/>
      </c>
      <c r="N42" s="39">
        <f t="shared" si="4"/>
      </c>
      <c r="O42" s="39">
        <f>10-SUM(K39:N42)</f>
        <v>0</v>
      </c>
      <c r="P42" s="35"/>
      <c r="R42" t="s">
        <v>803</v>
      </c>
    </row>
    <row r="43" spans="1:16" ht="12.75">
      <c r="A43" s="105" t="s">
        <v>984</v>
      </c>
      <c r="B43" s="17"/>
      <c r="C43" s="27" t="s">
        <v>681</v>
      </c>
      <c r="D43" s="28"/>
      <c r="E43" s="29"/>
      <c r="F43" s="8"/>
      <c r="G43" s="42"/>
      <c r="H43" s="14"/>
      <c r="I43" s="35"/>
      <c r="J43" s="40"/>
      <c r="K43" s="39"/>
      <c r="L43" s="39"/>
      <c r="M43" s="39"/>
      <c r="N43" s="39"/>
      <c r="O43" s="39"/>
      <c r="P43" s="35" t="s">
        <v>916</v>
      </c>
    </row>
    <row r="44" spans="1:18" ht="12.75">
      <c r="A44" s="4" t="s">
        <v>322</v>
      </c>
      <c r="B44" s="107">
        <v>1</v>
      </c>
      <c r="C44" s="26" t="str">
        <f>IF(A44="","",VLOOKUP($A43,IF(LEN(A44)=2,MSB,MSA),VLOOKUP(LEFT(A44,1),Teams,6,FALSE),FALSE))</f>
        <v>Dan Bradley</v>
      </c>
      <c r="D44" s="26" t="str">
        <f>IF(A44="","",VLOOKUP($A43,IF(LEN(A44)=2,MSB,MSA),VLOOKUP(LEFT(A44,1),Teams,7,FALSE),FALSE))</f>
        <v>SM</v>
      </c>
      <c r="E44" s="26" t="str">
        <f>IF(A44="","",VLOOKUP(LEFT(A44,1),Teams,2,FALSE))</f>
        <v>Tonbridge</v>
      </c>
      <c r="F44" s="10" t="s">
        <v>71</v>
      </c>
      <c r="G44" s="43">
        <v>4</v>
      </c>
      <c r="H44" s="14"/>
      <c r="I44" s="35">
        <f>IF(OR(F44="",TEXT(F44,"[s].0")-VLOOKUP($A43,AWstandards,12,FALSE)&gt;0),0,INT(VLOOKUP($A43,AWstandards,11,FALSE)*(VLOOKUP($A43,AWstandards,12,FALSE)-TEXT(F44,"[s].0"))^VLOOKUP($A43,AWstandards,13,FALSE)+0.5))</f>
        <v>586</v>
      </c>
      <c r="J44" s="32">
        <f>IF(F44="","",IF(F44-VLOOKUP($A43,AWstandards,VLOOKUP(D44,Age,2,FALSE),FALSE)&gt;0,"","aw"))</f>
      </c>
      <c r="K44" s="39">
        <f t="shared" si="4"/>
      </c>
      <c r="L44" s="39">
        <f t="shared" si="4"/>
      </c>
      <c r="M44" s="39">
        <f t="shared" si="4"/>
      </c>
      <c r="N44" s="39">
        <f t="shared" si="4"/>
        <v>4</v>
      </c>
      <c r="O44" s="39"/>
      <c r="P44" s="35"/>
      <c r="R44" t="s">
        <v>803</v>
      </c>
    </row>
    <row r="45" spans="1:18" ht="12.75">
      <c r="A45" s="4" t="s">
        <v>321</v>
      </c>
      <c r="B45" s="107">
        <v>2</v>
      </c>
      <c r="C45" s="26" t="str">
        <f>IF(A45="","",VLOOKUP($A43,IF(LEN(A45)=2,MSB,MSA),VLOOKUP(LEFT(A45,1),Teams,6,FALSE),FALSE))</f>
        <v>Ben Golding </v>
      </c>
      <c r="D45" s="26" t="str">
        <f>IF(A45="","",VLOOKUP($A43,IF(LEN(A45)=2,MSB,MSA),VLOOKUP(LEFT(A45,1),Teams,7,FALSE),FALSE))</f>
        <v>U20</v>
      </c>
      <c r="E45" s="26" t="str">
        <f>IF(A45="","",VLOOKUP(LEFT(A45,1),Teams,2,FALSE))</f>
        <v>Crawley</v>
      </c>
      <c r="F45" s="10" t="s">
        <v>72</v>
      </c>
      <c r="G45" s="43">
        <v>3</v>
      </c>
      <c r="H45" s="14"/>
      <c r="I45" s="35">
        <f>IF(OR(F45="",TEXT(F45,"[s].0")-VLOOKUP($A43,AWstandards,12,FALSE)&gt;0),0,INT(VLOOKUP($A43,AWstandards,11,FALSE)*(VLOOKUP($A43,AWstandards,12,FALSE)-TEXT(F45,"[s].0"))^VLOOKUP($A43,AWstandards,13,FALSE)+0.5))</f>
        <v>570</v>
      </c>
      <c r="J45" s="32" t="str">
        <f>IF(F45="","",IF(F45-VLOOKUP($A43,AWstandards,VLOOKUP(D45,Age,2,FALSE),FALSE)&gt;0,"","aw"))</f>
        <v>aw</v>
      </c>
      <c r="K45" s="39">
        <f t="shared" si="4"/>
      </c>
      <c r="L45" s="39">
        <f t="shared" si="4"/>
        <v>3</v>
      </c>
      <c r="M45" s="39">
        <f t="shared" si="4"/>
      </c>
      <c r="N45" s="39">
        <f t="shared" si="4"/>
      </c>
      <c r="O45" s="39"/>
      <c r="P45" s="35"/>
      <c r="R45" t="s">
        <v>803</v>
      </c>
    </row>
    <row r="46" spans="1:18" ht="12.75">
      <c r="A46" s="4" t="s">
        <v>313</v>
      </c>
      <c r="B46" s="107">
        <v>3</v>
      </c>
      <c r="C46" s="26" t="str">
        <f>IF(A46="","",VLOOKUP($A43,IF(LEN(A46)=2,MSB,MSA),VLOOKUP(LEFT(A46,1),Teams,6,FALSE),FALSE))</f>
        <v>Daniel Johnson</v>
      </c>
      <c r="D46" s="26" t="str">
        <f>IF(A46="","",VLOOKUP($A43,IF(LEN(A46)=2,MSB,MSA),VLOOKUP(LEFT(A46,1),Teams,7,FALSE),FALSE))</f>
        <v>M40</v>
      </c>
      <c r="E46" s="26" t="str">
        <f>IF(A46="","",VLOOKUP(LEFT(A46,1),Teams,2,FALSE))</f>
        <v>Epsom &amp; Ewell</v>
      </c>
      <c r="F46" s="10" t="s">
        <v>73</v>
      </c>
      <c r="G46" s="43">
        <v>2</v>
      </c>
      <c r="H46" s="14"/>
      <c r="I46" s="35">
        <f>IF(OR(F46="",TEXT(F46,"[s].0")-VLOOKUP($A43,AWstandards,12,FALSE)&gt;0),0,INT(VLOOKUP($A43,AWstandards,11,FALSE)*(VLOOKUP($A43,AWstandards,12,FALSE)-TEXT(F46,"[s].0"))^VLOOKUP($A43,AWstandards,13,FALSE)+0.5))</f>
        <v>414</v>
      </c>
      <c r="J46" s="32">
        <f>IF(F46="","",IF(F46-VLOOKUP($A43,AWstandards,VLOOKUP(D46,Age,2,FALSE),FALSE)&gt;0,"","aw"))</f>
      </c>
      <c r="K46" s="39">
        <f t="shared" si="4"/>
        <v>2</v>
      </c>
      <c r="L46" s="39">
        <f t="shared" si="4"/>
      </c>
      <c r="M46" s="39">
        <f t="shared" si="4"/>
      </c>
      <c r="N46" s="39">
        <f t="shared" si="4"/>
      </c>
      <c r="O46" s="39"/>
      <c r="P46" s="35"/>
      <c r="R46" t="s">
        <v>803</v>
      </c>
    </row>
    <row r="47" spans="1:18" ht="12.75">
      <c r="A47" s="4" t="s">
        <v>328</v>
      </c>
      <c r="B47" s="107">
        <v>4</v>
      </c>
      <c r="C47" s="26" t="str">
        <f>IF(A47="","",VLOOKUP($A43,IF(LEN(A47)=2,MSB,MSA),VLOOKUP(LEFT(A47,1),Teams,6,FALSE),FALSE))</f>
        <v>Tom Freeman</v>
      </c>
      <c r="D47" s="26" t="str">
        <f>IF(A47="","",VLOOKUP($A43,IF(LEN(A47)=2,MSB,MSA),VLOOKUP(LEFT(A47,1),Teams,7,FALSE),FALSE))</f>
        <v>U17</v>
      </c>
      <c r="E47" s="26" t="str">
        <f>IF(A47="","",VLOOKUP(LEFT(A47,1),Teams,2,FALSE))</f>
        <v>Team Dorset</v>
      </c>
      <c r="F47" s="10" t="s">
        <v>75</v>
      </c>
      <c r="G47" s="43">
        <v>1</v>
      </c>
      <c r="H47" s="14"/>
      <c r="I47" s="35">
        <f>IF(OR(F47="",TEXT(F47,"[s].0")-VLOOKUP($A43,AWstandards,12,FALSE)&gt;0),0,INT(VLOOKUP($A43,AWstandards,11,FALSE)*(VLOOKUP($A43,AWstandards,12,FALSE)-TEXT(F47,"[s].0"))^VLOOKUP($A43,AWstandards,13,FALSE)+0.5))</f>
        <v>399</v>
      </c>
      <c r="J47" s="32">
        <f>IF(F47="","",IF(F47-VLOOKUP($A43,AWstandards,VLOOKUP(D47,Age,2,FALSE),FALSE)&gt;0,"","aw"))</f>
      </c>
      <c r="K47" s="39">
        <f t="shared" si="4"/>
      </c>
      <c r="L47" s="39">
        <f t="shared" si="4"/>
      </c>
      <c r="M47" s="39">
        <f t="shared" si="4"/>
        <v>1</v>
      </c>
      <c r="N47" s="39">
        <f t="shared" si="4"/>
      </c>
      <c r="O47" s="39">
        <f>10-SUM(K44:N47)</f>
        <v>0</v>
      </c>
      <c r="P47" s="35"/>
      <c r="R47" t="s">
        <v>803</v>
      </c>
    </row>
    <row r="48" spans="1:16" ht="12.75">
      <c r="A48" s="105" t="s">
        <v>985</v>
      </c>
      <c r="B48" s="17"/>
      <c r="C48" s="27" t="s">
        <v>682</v>
      </c>
      <c r="D48" s="28"/>
      <c r="E48" s="29"/>
      <c r="F48" s="8"/>
      <c r="G48" s="42"/>
      <c r="H48" s="14"/>
      <c r="I48" s="35"/>
      <c r="J48" s="40"/>
      <c r="K48" s="39"/>
      <c r="L48" s="39"/>
      <c r="M48" s="39"/>
      <c r="N48" s="39"/>
      <c r="O48" s="39"/>
      <c r="P48" s="35" t="s">
        <v>917</v>
      </c>
    </row>
    <row r="49" spans="1:18" ht="12.75">
      <c r="A49" s="4" t="s">
        <v>327</v>
      </c>
      <c r="B49" s="107">
        <v>1</v>
      </c>
      <c r="C49" s="26" t="str">
        <f>IF(A49="","",VLOOKUP($A48,IF(LEN(A49)=2,MSB,MSA),VLOOKUP(LEFT(A49,1),Teams,6,FALSE),FALSE))</f>
        <v>Cameron Knapp</v>
      </c>
      <c r="D49" s="26" t="str">
        <f>IF(A49="","",VLOOKUP($A48,IF(LEN(A49)=2,MSB,MSA),VLOOKUP(LEFT(A49,1),Teams,7,FALSE),FALSE))</f>
        <v>U20</v>
      </c>
      <c r="E49" s="26" t="str">
        <f>IF(A49="","",VLOOKUP(LEFT(A49,1),Teams,2,FALSE))</f>
        <v>Tonbridge</v>
      </c>
      <c r="F49" s="10" t="s">
        <v>212</v>
      </c>
      <c r="G49" s="43">
        <v>4</v>
      </c>
      <c r="H49" s="14"/>
      <c r="I49" s="35">
        <f>IF(OR(F49="",TEXT(F49,"[s].0")-VLOOKUP($A48,AWstandards,12,FALSE)&gt;0),0,INT(VLOOKUP($A48,AWstandards,11,FALSE)*(VLOOKUP($A48,AWstandards,12,FALSE)-TEXT(F49,"[s].0"))^VLOOKUP($A48,AWstandards,13,FALSE)+0.5))</f>
        <v>629</v>
      </c>
      <c r="J49" s="32" t="str">
        <f>IF(F49="","",IF(F49-VLOOKUP($A48,AWstandards,VLOOKUP(D49,Age,2,FALSE),FALSE)&gt;0,"","aw"))</f>
        <v>aw</v>
      </c>
      <c r="K49" s="39">
        <f t="shared" si="4"/>
      </c>
      <c r="L49" s="39">
        <f t="shared" si="4"/>
      </c>
      <c r="M49" s="39">
        <f t="shared" si="4"/>
      </c>
      <c r="N49" s="39">
        <f t="shared" si="4"/>
        <v>4</v>
      </c>
      <c r="O49" s="39"/>
      <c r="P49" s="35"/>
      <c r="R49" t="s">
        <v>795</v>
      </c>
    </row>
    <row r="50" spans="1:18" ht="12.75">
      <c r="A50" s="4" t="s">
        <v>315</v>
      </c>
      <c r="B50" s="107">
        <v>2</v>
      </c>
      <c r="C50" s="26" t="str">
        <f>IF(A50="","",VLOOKUP($A48,IF(LEN(A50)=2,MSB,MSA),VLOOKUP(LEFT(A50,1),Teams,6,FALSE),FALSE))</f>
        <v>Tim Kimber </v>
      </c>
      <c r="D50" s="26" t="str">
        <f>IF(A50="","",VLOOKUP($A48,IF(LEN(A50)=2,MSB,MSA),VLOOKUP(LEFT(A50,1),Teams,7,FALSE),FALSE))</f>
        <v>M40</v>
      </c>
      <c r="E50" s="26" t="str">
        <f>IF(A50="","",VLOOKUP(LEFT(A50,1),Teams,2,FALSE))</f>
        <v>Crawley</v>
      </c>
      <c r="F50" s="10" t="s">
        <v>213</v>
      </c>
      <c r="G50" s="43">
        <v>3</v>
      </c>
      <c r="H50" s="14"/>
      <c r="I50" s="35">
        <f>IF(OR(F50="",TEXT(F50,"[s].0")-VLOOKUP($A48,AWstandards,12,FALSE)&gt;0),0,INT(VLOOKUP($A48,AWstandards,11,FALSE)*(VLOOKUP($A48,AWstandards,12,FALSE)-TEXT(F50,"[s].0"))^VLOOKUP($A48,AWstandards,13,FALSE)+0.5))</f>
        <v>394</v>
      </c>
      <c r="J50" s="32">
        <f>IF(F50="","",IF(F50-VLOOKUP($A48,AWstandards,VLOOKUP(D50,Age,2,FALSE),FALSE)&gt;0,"","aw"))</f>
      </c>
      <c r="K50" s="39">
        <f t="shared" si="4"/>
      </c>
      <c r="L50" s="39">
        <f t="shared" si="4"/>
        <v>3</v>
      </c>
      <c r="M50" s="39">
        <f t="shared" si="4"/>
      </c>
      <c r="N50" s="39">
        <f t="shared" si="4"/>
      </c>
      <c r="O50" s="39"/>
      <c r="P50" s="35"/>
      <c r="R50" t="s">
        <v>795</v>
      </c>
    </row>
    <row r="51" spans="1:18" ht="12.75">
      <c r="A51" s="4" t="s">
        <v>313</v>
      </c>
      <c r="B51" s="107">
        <v>3</v>
      </c>
      <c r="C51" s="26" t="str">
        <f>IF(A51="","",VLOOKUP($A48,IF(LEN(A51)=2,MSB,MSA),VLOOKUP(LEFT(A51,1),Teams,6,FALSE),FALSE))</f>
        <v>Alex Gurteen</v>
      </c>
      <c r="D51" s="26" t="str">
        <f>IF(A51="","",VLOOKUP($A48,IF(LEN(A51)=2,MSB,MSA),VLOOKUP(LEFT(A51,1),Teams,7,FALSE),FALSE))</f>
        <v>U17</v>
      </c>
      <c r="E51" s="26" t="str">
        <f>IF(A51="","",VLOOKUP(LEFT(A51,1),Teams,2,FALSE))</f>
        <v>Epsom &amp; Ewell</v>
      </c>
      <c r="F51" s="10" t="s">
        <v>214</v>
      </c>
      <c r="G51" s="43">
        <v>2</v>
      </c>
      <c r="H51" s="14"/>
      <c r="I51" s="35">
        <f>IF(OR(F51="",TEXT(F51,"[s].0")-VLOOKUP($A48,AWstandards,12,FALSE)&gt;0),0,INT(VLOOKUP($A48,AWstandards,11,FALSE)*(VLOOKUP($A48,AWstandards,12,FALSE)-TEXT(F51,"[s].0"))^VLOOKUP($A48,AWstandards,13,FALSE)+0.5))</f>
        <v>307</v>
      </c>
      <c r="J51" s="32">
        <f>IF(F51="","",IF(F51-VLOOKUP($A48,AWstandards,VLOOKUP(D51,Age,2,FALSE),FALSE)&gt;0,"","aw"))</f>
      </c>
      <c r="K51" s="39">
        <f t="shared" si="4"/>
        <v>2</v>
      </c>
      <c r="L51" s="39">
        <f t="shared" si="4"/>
      </c>
      <c r="M51" s="39">
        <f t="shared" si="4"/>
      </c>
      <c r="N51" s="39">
        <f t="shared" si="4"/>
      </c>
      <c r="O51" s="39"/>
      <c r="P51" s="35"/>
      <c r="R51" t="s">
        <v>795</v>
      </c>
    </row>
    <row r="52" spans="1:18" ht="12.75">
      <c r="A52" s="4" t="s">
        <v>320</v>
      </c>
      <c r="B52" s="107">
        <v>4</v>
      </c>
      <c r="C52" s="26" t="str">
        <f>IF(A52="","",VLOOKUP($A48,IF(LEN(A52)=2,MSB,MSA),VLOOKUP(LEFT(A52,1),Teams,6,FALSE),FALSE))</f>
        <v>Glyn Davies</v>
      </c>
      <c r="D52" s="26" t="str">
        <f>IF(A52="","",VLOOKUP($A48,IF(LEN(A52)=2,MSB,MSA),VLOOKUP(LEFT(A52,1),Teams,7,FALSE),FALSE))</f>
        <v>M60</v>
      </c>
      <c r="E52" s="26" t="str">
        <f>IF(A52="","",VLOOKUP(LEFT(A52,1),Teams,2,FALSE))</f>
        <v>Team Dorset</v>
      </c>
      <c r="F52" s="10" t="s">
        <v>215</v>
      </c>
      <c r="G52" s="43">
        <v>1</v>
      </c>
      <c r="H52" s="14"/>
      <c r="I52" s="35">
        <f>IF(OR(F52="",TEXT(F52,"[s].0")-VLOOKUP($A48,AWstandards,12,FALSE)&gt;0),0,INT(VLOOKUP($A48,AWstandards,11,FALSE)*(VLOOKUP($A48,AWstandards,12,FALSE)-TEXT(F52,"[s].0"))^VLOOKUP($A48,AWstandards,13,FALSE)+0.5))</f>
        <v>0</v>
      </c>
      <c r="J52" s="32">
        <f>IF(F52="","",IF(F52-VLOOKUP($A48,AWstandards,VLOOKUP(D52,Age,2,FALSE),FALSE)&gt;0,"","aw"))</f>
      </c>
      <c r="K52" s="39">
        <f t="shared" si="4"/>
      </c>
      <c r="L52" s="39">
        <f t="shared" si="4"/>
      </c>
      <c r="M52" s="39">
        <f t="shared" si="4"/>
        <v>1</v>
      </c>
      <c r="N52" s="39">
        <f t="shared" si="4"/>
      </c>
      <c r="O52" s="39">
        <f>10-SUM(K49:N52)</f>
        <v>0</v>
      </c>
      <c r="P52" s="35"/>
      <c r="R52" t="s">
        <v>795</v>
      </c>
    </row>
    <row r="53" spans="1:16" ht="12.75">
      <c r="A53" s="105" t="s">
        <v>985</v>
      </c>
      <c r="B53" s="17"/>
      <c r="C53" s="27" t="s">
        <v>683</v>
      </c>
      <c r="D53" s="28"/>
      <c r="E53" s="29"/>
      <c r="F53" s="8"/>
      <c r="G53" s="42"/>
      <c r="H53" s="14"/>
      <c r="I53" s="35"/>
      <c r="J53" s="40"/>
      <c r="K53" s="39"/>
      <c r="L53" s="39"/>
      <c r="M53" s="39"/>
      <c r="N53" s="39"/>
      <c r="O53" s="39"/>
      <c r="P53" s="35" t="s">
        <v>918</v>
      </c>
    </row>
    <row r="54" spans="1:18" ht="12.75">
      <c r="A54" s="4" t="s">
        <v>322</v>
      </c>
      <c r="B54" s="107">
        <v>1</v>
      </c>
      <c r="C54" s="26" t="str">
        <f>IF(A54="","",VLOOKUP($A53,IF(LEN(A54)=2,MSB,MSA),VLOOKUP(LEFT(A54,1),Teams,6,FALSE),FALSE))</f>
        <v>Dan Bradley</v>
      </c>
      <c r="D54" s="26" t="str">
        <f>IF(A54="","",VLOOKUP($A53,IF(LEN(A54)=2,MSB,MSA),VLOOKUP(LEFT(A54,1),Teams,7,FALSE),FALSE))</f>
        <v>SM</v>
      </c>
      <c r="E54" s="26" t="str">
        <f>IF(A54="","",VLOOKUP(LEFT(A54,1),Teams,2,FALSE))</f>
        <v>Tonbridge</v>
      </c>
      <c r="F54" s="10" t="s">
        <v>216</v>
      </c>
      <c r="G54" s="43">
        <v>4</v>
      </c>
      <c r="H54" s="14"/>
      <c r="I54" s="35">
        <f>IF(OR(F54="",TEXT(F54,"[s].0")-VLOOKUP($A53,AWstandards,12,FALSE)&gt;0),0,INT(VLOOKUP($A53,AWstandards,11,FALSE)*(VLOOKUP($A53,AWstandards,12,FALSE)-TEXT(F54,"[s].0"))^VLOOKUP($A53,AWstandards,13,FALSE)+0.5))</f>
        <v>421</v>
      </c>
      <c r="J54" s="32">
        <f>IF(F54="","",IF(F54-VLOOKUP($A53,AWstandards,VLOOKUP(D54,Age,2,FALSE),FALSE)&gt;0,"","aw"))</f>
      </c>
      <c r="K54" s="39">
        <f t="shared" si="4"/>
      </c>
      <c r="L54" s="39">
        <f t="shared" si="4"/>
      </c>
      <c r="M54" s="39">
        <f t="shared" si="4"/>
      </c>
      <c r="N54" s="39">
        <f t="shared" si="4"/>
        <v>4</v>
      </c>
      <c r="O54" s="39"/>
      <c r="P54" s="35"/>
      <c r="R54" t="s">
        <v>795</v>
      </c>
    </row>
    <row r="55" spans="1:18" ht="12.75">
      <c r="A55" s="4" t="s">
        <v>321</v>
      </c>
      <c r="B55" s="107">
        <v>2</v>
      </c>
      <c r="C55" s="26" t="str">
        <f>IF(A55="","",VLOOKUP($A53,IF(LEN(A55)=2,MSB,MSA),VLOOKUP(LEFT(A55,1),Teams,6,FALSE),FALSE))</f>
        <v>Robbie Creed </v>
      </c>
      <c r="D55" s="26" t="str">
        <f>IF(A55="","",VLOOKUP($A53,IF(LEN(A55)=2,MSB,MSA),VLOOKUP(LEFT(A55,1),Teams,7,FALSE),FALSE))</f>
        <v>M50</v>
      </c>
      <c r="E55" s="26" t="str">
        <f>IF(A55="","",VLOOKUP(LEFT(A55,1),Teams,2,FALSE))</f>
        <v>Crawley</v>
      </c>
      <c r="F55" s="10" t="s">
        <v>217</v>
      </c>
      <c r="G55" s="43">
        <v>3</v>
      </c>
      <c r="H55" s="14"/>
      <c r="I55" s="35">
        <f>IF(OR(F55="",TEXT(F55,"[s].0")-VLOOKUP($A53,AWstandards,12,FALSE)&gt;0),0,INT(VLOOKUP($A53,AWstandards,11,FALSE)*(VLOOKUP($A53,AWstandards,12,FALSE)-TEXT(F55,"[s].0"))^VLOOKUP($A53,AWstandards,13,FALSE)+0.5))</f>
        <v>314</v>
      </c>
      <c r="J55" s="32" t="str">
        <f>IF(F55="","",IF(F55-VLOOKUP($A53,AWstandards,VLOOKUP(D55,Age,2,FALSE),FALSE)&gt;0,"","aw"))</f>
        <v>aw</v>
      </c>
      <c r="K55" s="39">
        <f aca="true" t="shared" si="5" ref="K55:N57">IF($A55="","",IF(LEFT($A55,1)=K$8,$G55,""))</f>
      </c>
      <c r="L55" s="39">
        <f t="shared" si="5"/>
        <v>3</v>
      </c>
      <c r="M55" s="39">
        <f t="shared" si="5"/>
      </c>
      <c r="N55" s="39">
        <f t="shared" si="5"/>
      </c>
      <c r="O55" s="39"/>
      <c r="P55" s="35"/>
      <c r="R55" t="s">
        <v>795</v>
      </c>
    </row>
    <row r="56" spans="1:18" ht="12.75">
      <c r="A56" s="4" t="s">
        <v>312</v>
      </c>
      <c r="B56" s="107">
        <v>3</v>
      </c>
      <c r="C56" s="26" t="str">
        <f>IF(A56="","",VLOOKUP($A53,IF(LEN(A56)=2,MSB,MSA),VLOOKUP(LEFT(A56,1),Teams,6,FALSE),FALSE))</f>
        <v>Stuart Flack</v>
      </c>
      <c r="D56" s="26" t="str">
        <f>IF(A56="","",VLOOKUP($A53,IF(LEN(A56)=2,MSB,MSA),VLOOKUP(LEFT(A56,1),Teams,7,FALSE),FALSE))</f>
        <v>SM</v>
      </c>
      <c r="E56" s="26" t="str">
        <f>IF(A56="","",VLOOKUP(LEFT(A56,1),Teams,2,FALSE))</f>
        <v>Epsom &amp; Ewell</v>
      </c>
      <c r="F56" s="10" t="s">
        <v>218</v>
      </c>
      <c r="G56" s="43">
        <v>2</v>
      </c>
      <c r="H56" s="14"/>
      <c r="I56" s="35">
        <f>IF(OR(F56="",TEXT(F56,"[s].0")-VLOOKUP($A53,AWstandards,12,FALSE)&gt;0),0,INT(VLOOKUP($A53,AWstandards,11,FALSE)*(VLOOKUP($A53,AWstandards,12,FALSE)-TEXT(F56,"[s].0"))^VLOOKUP($A53,AWstandards,13,FALSE)+0.5))</f>
        <v>268</v>
      </c>
      <c r="J56" s="32">
        <f>IF(F56="","",IF(F56-VLOOKUP($A53,AWstandards,VLOOKUP(D56,Age,2,FALSE),FALSE)&gt;0,"","aw"))</f>
      </c>
      <c r="K56" s="39">
        <f t="shared" si="5"/>
        <v>2</v>
      </c>
      <c r="L56" s="39">
        <f t="shared" si="5"/>
      </c>
      <c r="M56" s="39">
        <f t="shared" si="5"/>
      </c>
      <c r="N56" s="39">
        <f t="shared" si="5"/>
      </c>
      <c r="O56" s="39"/>
      <c r="P56" s="35"/>
      <c r="R56" t="s">
        <v>795</v>
      </c>
    </row>
    <row r="57" spans="1:18" ht="12.75">
      <c r="A57" s="4"/>
      <c r="B57" s="107">
        <v>4</v>
      </c>
      <c r="C57" s="26">
        <f>IF(A57="","",VLOOKUP($A53,IF(LEN(A57)=2,MSB,MSA),VLOOKUP(LEFT(A57,1),Teams,6,FALSE),FALSE))</f>
      </c>
      <c r="D57" s="26">
        <f>IF(A57="","",VLOOKUP($A53,IF(LEN(A57)=2,MSB,MSA),VLOOKUP(LEFT(A57,1),Teams,7,FALSE),FALSE))</f>
      </c>
      <c r="E57" s="26">
        <f>IF(A57="","",VLOOKUP(LEFT(A57,1),Teams,2,FALSE))</f>
      </c>
      <c r="F57" s="10"/>
      <c r="G57" s="43">
        <v>1</v>
      </c>
      <c r="H57" s="14"/>
      <c r="I57" s="35">
        <f>IF(OR(F57="",TEXT(F57,"[s].0")-VLOOKUP($A53,AWstandards,12,FALSE)&gt;0),0,INT(VLOOKUP($A53,AWstandards,11,FALSE)*(VLOOKUP($A53,AWstandards,12,FALSE)-TEXT(F57,"[s].0"))^VLOOKUP($A53,AWstandards,13,FALSE)+0.5))</f>
        <v>0</v>
      </c>
      <c r="J57" s="32">
        <f>IF(F57="","",IF(F57-VLOOKUP($A53,AWstandards,VLOOKUP(D57,Age,2,FALSE),FALSE)&gt;0,"","aw"))</f>
      </c>
      <c r="K57" s="39">
        <f t="shared" si="5"/>
      </c>
      <c r="L57" s="39">
        <f t="shared" si="5"/>
      </c>
      <c r="M57" s="39">
        <f t="shared" si="5"/>
      </c>
      <c r="N57" s="39">
        <f t="shared" si="5"/>
      </c>
      <c r="O57" s="39">
        <f>10-SUM(K54:N57)</f>
        <v>1</v>
      </c>
      <c r="P57" s="35"/>
      <c r="R57" t="s">
        <v>795</v>
      </c>
    </row>
    <row r="58" spans="1:16" ht="12.75">
      <c r="A58" s="105" t="str">
        <f>Dec!A$16</f>
        <v>5000</v>
      </c>
      <c r="B58" s="17"/>
      <c r="C58" s="28" t="str">
        <f>"Men's A "&amp;IF(INT(VALUE(MID(Dec!$B$1,2,1))/2)*2=VALUE(MID(Dec!$B$1,2,1)),"3000m","5000m")</f>
        <v>Men's A 5000m</v>
      </c>
      <c r="D58" s="28"/>
      <c r="E58" s="29"/>
      <c r="F58" s="9"/>
      <c r="G58" s="42"/>
      <c r="H58" s="14"/>
      <c r="I58" s="35"/>
      <c r="J58" s="40"/>
      <c r="K58" s="39"/>
      <c r="L58" s="39"/>
      <c r="M58" s="39"/>
      <c r="N58" s="39"/>
      <c r="O58" s="39"/>
      <c r="P58" s="35" t="s">
        <v>780</v>
      </c>
    </row>
    <row r="59" spans="1:18" ht="12.75">
      <c r="A59" s="4" t="s">
        <v>327</v>
      </c>
      <c r="B59" s="107">
        <v>1</v>
      </c>
      <c r="C59" s="26" t="str">
        <f>IF(A59="","",VLOOKUP($A58,IF(LEN(A59)=2,MSB,MSA),VLOOKUP(LEFT(A59,1),Teams,6,FALSE),FALSE))</f>
        <v>Ben Cole</v>
      </c>
      <c r="D59" s="26" t="str">
        <f>IF(A59="","",VLOOKUP($A58,IF(LEN(A59)=2,MSB,MSA),VLOOKUP(LEFT(A59,1),Teams,7,FALSE),FALSE))</f>
        <v>SM</v>
      </c>
      <c r="E59" s="26" t="str">
        <f>IF(A59="","",VLOOKUP(LEFT(A59,1),Teams,2,FALSE))</f>
        <v>Tonbridge</v>
      </c>
      <c r="F59" s="10" t="s">
        <v>167</v>
      </c>
      <c r="G59" s="43">
        <v>4</v>
      </c>
      <c r="H59" s="14"/>
      <c r="I59" s="35">
        <f>IF(OR(F59="",TEXT(F59,"[s].0")-VLOOKUP($A58,AWstandards,12,FALSE)&gt;0),0,INT(VLOOKUP($A58,AWstandards,11,FALSE)*(VLOOKUP($A58,AWstandards,12,FALSE)-TEXT(F59,"[s].0"))^VLOOKUP($A58,AWstandards,13,FALSE)+0.5))</f>
        <v>768</v>
      </c>
      <c r="J59" s="32" t="str">
        <f>IF(F59="","",IF(F59-VLOOKUP($A58,AWstandards,VLOOKUP(D59,Age,2,FALSE),FALSE)&gt;0,"","aw"))</f>
        <v>aw</v>
      </c>
      <c r="K59" s="39">
        <f aca="true" t="shared" si="6" ref="K59:N62">IF($A59="","",IF(LEFT($A59,1)=K$8,$G59,""))</f>
      </c>
      <c r="L59" s="39">
        <f t="shared" si="6"/>
      </c>
      <c r="M59" s="39">
        <f t="shared" si="6"/>
      </c>
      <c r="N59" s="39">
        <f t="shared" si="6"/>
        <v>4</v>
      </c>
      <c r="O59" s="39"/>
      <c r="P59" s="35"/>
      <c r="R59" t="s">
        <v>454</v>
      </c>
    </row>
    <row r="60" spans="1:18" ht="12.75">
      <c r="A60" s="4" t="s">
        <v>312</v>
      </c>
      <c r="B60" s="107">
        <v>2</v>
      </c>
      <c r="C60" s="26" t="str">
        <f>IF(A60="","",VLOOKUP($A58,IF(LEN(A60)=2,MSB,MSA),VLOOKUP(LEFT(A60,1),Teams,6,FALSE),FALSE))</f>
        <v>Ollie Garrod</v>
      </c>
      <c r="D60" s="26" t="str">
        <f>IF(A60="","",VLOOKUP($A58,IF(LEN(A60)=2,MSB,MSA),VLOOKUP(LEFT(A60,1),Teams,7,FALSE),FALSE))</f>
        <v>U23</v>
      </c>
      <c r="E60" s="26" t="str">
        <f>IF(A60="","",VLOOKUP(LEFT(A60,1),Teams,2,FALSE))</f>
        <v>Epsom &amp; Ewell</v>
      </c>
      <c r="F60" s="10" t="s">
        <v>168</v>
      </c>
      <c r="G60" s="43">
        <v>3</v>
      </c>
      <c r="H60" s="14"/>
      <c r="I60" s="35">
        <f>IF(OR(F60="",TEXT(F60,"[s].0")-VLOOKUP($A58,AWstandards,12,FALSE)&gt;0),0,INT(VLOOKUP($A58,AWstandards,11,FALSE)*(VLOOKUP($A58,AWstandards,12,FALSE)-TEXT(F60,"[s].0"))^VLOOKUP($A58,AWstandards,13,FALSE)+0.5))</f>
        <v>623</v>
      </c>
      <c r="J60" s="32" t="str">
        <f>IF(F60="","",IF(F60-VLOOKUP($A58,AWstandards,VLOOKUP(D60,Age,2,FALSE),FALSE)&gt;0,"","aw"))</f>
        <v>aw</v>
      </c>
      <c r="K60" s="39">
        <f t="shared" si="6"/>
        <v>3</v>
      </c>
      <c r="L60" s="39">
        <f t="shared" si="6"/>
      </c>
      <c r="M60" s="39">
        <f t="shared" si="6"/>
      </c>
      <c r="N60" s="39">
        <f t="shared" si="6"/>
      </c>
      <c r="O60" s="39"/>
      <c r="P60" s="35"/>
      <c r="R60" t="s">
        <v>454</v>
      </c>
    </row>
    <row r="61" spans="1:18" ht="12.75">
      <c r="A61" s="4" t="s">
        <v>315</v>
      </c>
      <c r="B61" s="107">
        <v>3</v>
      </c>
      <c r="C61" s="26" t="str">
        <f>IF(A61="","",VLOOKUP($A58,IF(LEN(A61)=2,MSB,MSA),VLOOKUP(LEFT(A61,1),Teams,6,FALSE),FALSE))</f>
        <v>Chris Pratt</v>
      </c>
      <c r="D61" s="26" t="str">
        <f>IF(A61="","",VLOOKUP($A58,IF(LEN(A61)=2,MSB,MSA),VLOOKUP(LEFT(A61,1),Teams,7,FALSE),FALSE))</f>
        <v>M40</v>
      </c>
      <c r="E61" s="26" t="str">
        <f>IF(A61="","",VLOOKUP(LEFT(A61,1),Teams,2,FALSE))</f>
        <v>Crawley</v>
      </c>
      <c r="F61" s="10" t="s">
        <v>169</v>
      </c>
      <c r="G61" s="43">
        <v>2</v>
      </c>
      <c r="H61" s="14"/>
      <c r="I61" s="35">
        <f>IF(OR(F61="",TEXT(F61,"[s].0")-VLOOKUP($A58,AWstandards,12,FALSE)&gt;0),0,INT(VLOOKUP($A58,AWstandards,11,FALSE)*(VLOOKUP($A58,AWstandards,12,FALSE)-TEXT(F61,"[s].0"))^VLOOKUP($A58,AWstandards,13,FALSE)+0.5))</f>
        <v>435</v>
      </c>
      <c r="J61" s="32">
        <f>IF(F61="","",IF(F61-VLOOKUP($A58,AWstandards,VLOOKUP(D61,Age,2,FALSE),FALSE)&gt;0,"","aw"))</f>
      </c>
      <c r="K61" s="39">
        <f t="shared" si="6"/>
      </c>
      <c r="L61" s="39">
        <f t="shared" si="6"/>
        <v>2</v>
      </c>
      <c r="M61" s="39">
        <f t="shared" si="6"/>
      </c>
      <c r="N61" s="39">
        <f t="shared" si="6"/>
      </c>
      <c r="O61" s="39"/>
      <c r="P61" s="35"/>
      <c r="R61" t="s">
        <v>454</v>
      </c>
    </row>
    <row r="62" spans="1:18" ht="12.75">
      <c r="A62" s="4" t="s">
        <v>320</v>
      </c>
      <c r="B62" s="107">
        <v>4</v>
      </c>
      <c r="C62" s="26" t="str">
        <f>IF(A62="","",VLOOKUP($A58,IF(LEN(A62)=2,MSB,MSA),VLOOKUP(LEFT(A62,1),Teams,6,FALSE),FALSE))</f>
        <v>Andrew Dumbrell</v>
      </c>
      <c r="D62" s="26" t="str">
        <f>IF(A62="","",VLOOKUP($A58,IF(LEN(A62)=2,MSB,MSA),VLOOKUP(LEFT(A62,1),Teams,7,FALSE),FALSE))</f>
        <v>U17</v>
      </c>
      <c r="E62" s="26" t="str">
        <f>IF(A62="","",VLOOKUP(LEFT(A62,1),Teams,2,FALSE))</f>
        <v>Team Dorset</v>
      </c>
      <c r="F62" s="10" t="s">
        <v>63</v>
      </c>
      <c r="G62" s="43">
        <v>0</v>
      </c>
      <c r="H62" s="14"/>
      <c r="I62" s="35" t="e">
        <f>IF(OR(F62="",TEXT(F62,"[s].0")-VLOOKUP($A58,AWstandards,12,FALSE)&gt;0),0,INT(VLOOKUP($A58,AWstandards,11,FALSE)*(VLOOKUP($A58,AWstandards,12,FALSE)-TEXT(F62,"[s].0"))^VLOOKUP($A58,AWstandards,13,FALSE)+0.5))</f>
        <v>#VALUE!</v>
      </c>
      <c r="J62" s="32"/>
      <c r="K62" s="39">
        <f t="shared" si="6"/>
      </c>
      <c r="L62" s="39">
        <f t="shared" si="6"/>
      </c>
      <c r="M62" s="39">
        <v>0</v>
      </c>
      <c r="N62" s="39">
        <f t="shared" si="6"/>
      </c>
      <c r="O62" s="39">
        <f>10-SUM(K59:N62)</f>
        <v>1</v>
      </c>
      <c r="P62" s="35"/>
      <c r="R62" t="s">
        <v>454</v>
      </c>
    </row>
    <row r="63" spans="1:16" ht="12.75">
      <c r="A63" s="105" t="str">
        <f>Dec!A$16</f>
        <v>5000</v>
      </c>
      <c r="B63" s="17"/>
      <c r="C63" s="28" t="str">
        <f>"Men's B "&amp;IF(INT(VALUE(MID(Dec!$B$1,2,1))/2)*2=VALUE(MID(Dec!$B$1,2,1)),"3000m","5000m")</f>
        <v>Men's B 5000m</v>
      </c>
      <c r="D63" s="28"/>
      <c r="E63" s="29"/>
      <c r="F63" s="9"/>
      <c r="G63" s="42"/>
      <c r="H63" s="14"/>
      <c r="I63" s="35"/>
      <c r="J63" s="40"/>
      <c r="K63" s="39"/>
      <c r="L63" s="39"/>
      <c r="M63" s="39"/>
      <c r="N63" s="39"/>
      <c r="O63" s="39"/>
      <c r="P63" s="35" t="s">
        <v>781</v>
      </c>
    </row>
    <row r="64" spans="1:18" ht="12.75">
      <c r="A64" s="4" t="s">
        <v>322</v>
      </c>
      <c r="B64" s="107">
        <v>1</v>
      </c>
      <c r="C64" s="26" t="str">
        <f>IF(A64="","",VLOOKUP($A63,IF(LEN(A64)=2,MSB,MSA),VLOOKUP(LEFT(A64,1),Teams,6,FALSE),FALSE))</f>
        <v>Harry Paton</v>
      </c>
      <c r="D64" s="26" t="str">
        <f>IF(A64="","",VLOOKUP($A63,IF(LEN(A64)=2,MSB,MSA),VLOOKUP(LEFT(A64,1),Teams,7,FALSE),FALSE))</f>
        <v>SM</v>
      </c>
      <c r="E64" s="26" t="str">
        <f>IF(A64="","",VLOOKUP(LEFT(A64,1),Teams,2,FALSE))</f>
        <v>Tonbridge</v>
      </c>
      <c r="F64" s="10" t="s">
        <v>170</v>
      </c>
      <c r="G64" s="43">
        <v>4</v>
      </c>
      <c r="H64" s="14"/>
      <c r="I64" s="35">
        <f>IF(OR(F64="",TEXT(F64,"[s].0")-VLOOKUP($A63,AWstandards,12,FALSE)&gt;0),0,INT(VLOOKUP($A63,AWstandards,11,FALSE)*(VLOOKUP($A63,AWstandards,12,FALSE)-TEXT(F64,"[s].0"))^VLOOKUP($A63,AWstandards,13,FALSE)+0.5))</f>
        <v>494</v>
      </c>
      <c r="J64" s="32">
        <f>IF(F64="","",IF(F64-VLOOKUP($A63,AWstandards,VLOOKUP(D64,Age,2,FALSE),FALSE)&gt;0,"","aw"))</f>
      </c>
      <c r="K64" s="39">
        <f aca="true" t="shared" si="7" ref="K64:N67">IF($A64="","",IF(LEFT($A64,1)=K$8,$G64,""))</f>
      </c>
      <c r="L64" s="39">
        <f t="shared" si="7"/>
      </c>
      <c r="M64" s="39">
        <f t="shared" si="7"/>
      </c>
      <c r="N64" s="39">
        <f t="shared" si="7"/>
        <v>4</v>
      </c>
      <c r="O64" s="39"/>
      <c r="P64" s="35"/>
      <c r="R64" t="s">
        <v>454</v>
      </c>
    </row>
    <row r="65" spans="1:18" ht="12.75">
      <c r="A65" s="4" t="s">
        <v>313</v>
      </c>
      <c r="B65" s="107">
        <v>2</v>
      </c>
      <c r="C65" s="26" t="str">
        <f>IF(A65="","",VLOOKUP($A63,IF(LEN(A65)=2,MSB,MSA),VLOOKUP(LEFT(A65,1),Teams,6,FALSE),FALSE))</f>
        <v>Stuart Flack</v>
      </c>
      <c r="D65" s="26" t="str">
        <f>IF(A65="","",VLOOKUP($A63,IF(LEN(A65)=2,MSB,MSA),VLOOKUP(LEFT(A65,1),Teams,7,FALSE),FALSE))</f>
        <v>SM</v>
      </c>
      <c r="E65" s="26" t="str">
        <f>IF(A65="","",VLOOKUP(LEFT(A65,1),Teams,2,FALSE))</f>
        <v>Epsom &amp; Ewell</v>
      </c>
      <c r="F65" s="10" t="s">
        <v>171</v>
      </c>
      <c r="G65" s="43">
        <v>3</v>
      </c>
      <c r="H65" s="14"/>
      <c r="I65" s="35">
        <f>IF(OR(F65="",TEXT(F65,"[s].0")-VLOOKUP($A63,AWstandards,12,FALSE)&gt;0),0,INT(VLOOKUP($A63,AWstandards,11,FALSE)*(VLOOKUP($A63,AWstandards,12,FALSE)-TEXT(F65,"[s].0"))^VLOOKUP($A63,AWstandards,13,FALSE)+0.5))</f>
        <v>417</v>
      </c>
      <c r="J65" s="32">
        <f>IF(F65="","",IF(F65-VLOOKUP($A63,AWstandards,VLOOKUP(D65,Age,2,FALSE),FALSE)&gt;0,"","aw"))</f>
      </c>
      <c r="K65" s="39">
        <f t="shared" si="7"/>
        <v>3</v>
      </c>
      <c r="L65" s="39">
        <f t="shared" si="7"/>
      </c>
      <c r="M65" s="39">
        <f t="shared" si="7"/>
      </c>
      <c r="N65" s="39">
        <f t="shared" si="7"/>
      </c>
      <c r="O65" s="39"/>
      <c r="P65" s="35"/>
      <c r="R65" t="s">
        <v>454</v>
      </c>
    </row>
    <row r="66" spans="1:18" ht="12.75">
      <c r="A66" s="4" t="s">
        <v>321</v>
      </c>
      <c r="B66" s="107">
        <v>3</v>
      </c>
      <c r="C66" s="26" t="str">
        <f>IF(A66="","",VLOOKUP($A63,IF(LEN(A66)=2,MSB,MSA),VLOOKUP(LEFT(A66,1),Teams,6,FALSE),FALSE))</f>
        <v>Tim Ellis </v>
      </c>
      <c r="D66" s="26" t="str">
        <f>IF(A66="","",VLOOKUP($A63,IF(LEN(A66)=2,MSB,MSA),VLOOKUP(LEFT(A66,1),Teams,7,FALSE),FALSE))</f>
        <v>SM</v>
      </c>
      <c r="E66" s="26" t="str">
        <f>IF(A66="","",VLOOKUP(LEFT(A66,1),Teams,2,FALSE))</f>
        <v>Crawley</v>
      </c>
      <c r="F66" s="10" t="s">
        <v>172</v>
      </c>
      <c r="G66" s="43">
        <v>2</v>
      </c>
      <c r="H66" s="14"/>
      <c r="I66" s="35">
        <f>IF(OR(F66="",TEXT(F66,"[s].0")-VLOOKUP($A63,AWstandards,12,FALSE)&gt;0),0,INT(VLOOKUP($A63,AWstandards,11,FALSE)*(VLOOKUP($A63,AWstandards,12,FALSE)-TEXT(F66,"[s].0"))^VLOOKUP($A63,AWstandards,13,FALSE)+0.5))</f>
        <v>325</v>
      </c>
      <c r="J66" s="32">
        <f>IF(F66="","",IF(F66-VLOOKUP($A63,AWstandards,VLOOKUP(D66,Age,2,FALSE),FALSE)&gt;0,"","aw"))</f>
      </c>
      <c r="K66" s="39">
        <f t="shared" si="7"/>
      </c>
      <c r="L66" s="39">
        <f t="shared" si="7"/>
        <v>2</v>
      </c>
      <c r="M66" s="39">
        <f t="shared" si="7"/>
      </c>
      <c r="N66" s="39">
        <f t="shared" si="7"/>
      </c>
      <c r="O66" s="39"/>
      <c r="P66" s="35"/>
      <c r="R66" t="s">
        <v>454</v>
      </c>
    </row>
    <row r="67" spans="1:18" ht="12.75">
      <c r="A67" s="4" t="s">
        <v>328</v>
      </c>
      <c r="B67" s="107">
        <v>4</v>
      </c>
      <c r="C67" s="26" t="str">
        <f>IF(A67="","",VLOOKUP($A63,IF(LEN(A67)=2,MSB,MSA),VLOOKUP(LEFT(A67,1),Teams,6,FALSE),FALSE))</f>
        <v>Piers Copeland</v>
      </c>
      <c r="D67" s="26" t="str">
        <f>IF(A67="","",VLOOKUP($A63,IF(LEN(A67)=2,MSB,MSA),VLOOKUP(LEFT(A67,1),Teams,7,FALSE),FALSE))</f>
        <v>U17</v>
      </c>
      <c r="E67" s="26" t="str">
        <f>IF(A67="","",VLOOKUP(LEFT(A67,1),Teams,2,FALSE))</f>
        <v>Team Dorset</v>
      </c>
      <c r="F67" s="10" t="s">
        <v>63</v>
      </c>
      <c r="G67" s="43">
        <v>0</v>
      </c>
      <c r="H67" s="14"/>
      <c r="I67" s="35" t="e">
        <f>IF(OR(F67="",TEXT(F67,"[s].0")-VLOOKUP($A63,AWstandards,12,FALSE)&gt;0),0,INT(VLOOKUP($A63,AWstandards,11,FALSE)*(VLOOKUP($A63,AWstandards,12,FALSE)-TEXT(F67,"[s].0"))^VLOOKUP($A63,AWstandards,13,FALSE)+0.5))</f>
        <v>#VALUE!</v>
      </c>
      <c r="J67" s="32"/>
      <c r="K67" s="39">
        <f t="shared" si="7"/>
      </c>
      <c r="L67" s="39"/>
      <c r="M67" s="39">
        <f t="shared" si="7"/>
        <v>0</v>
      </c>
      <c r="N67" s="39">
        <f t="shared" si="7"/>
      </c>
      <c r="O67" s="39">
        <f>10-SUM(K64:N67)</f>
        <v>1</v>
      </c>
      <c r="P67" s="35"/>
      <c r="R67" t="s">
        <v>454</v>
      </c>
    </row>
    <row r="68" spans="1:16" ht="12.75">
      <c r="A68" s="106" t="s">
        <v>987</v>
      </c>
      <c r="B68" s="17"/>
      <c r="C68" s="27" t="s">
        <v>684</v>
      </c>
      <c r="D68" s="28" t="s">
        <v>963</v>
      </c>
      <c r="E68" s="16"/>
      <c r="F68" s="9"/>
      <c r="G68" s="42"/>
      <c r="H68" s="14"/>
      <c r="I68" s="35"/>
      <c r="J68" s="35"/>
      <c r="K68" s="39"/>
      <c r="L68" s="39"/>
      <c r="M68" s="39"/>
      <c r="N68" s="39"/>
      <c r="O68" s="39"/>
      <c r="P68" s="35" t="s">
        <v>782</v>
      </c>
    </row>
    <row r="69" spans="1:18" ht="12.75">
      <c r="A69" s="4" t="s">
        <v>315</v>
      </c>
      <c r="B69" s="107">
        <v>1</v>
      </c>
      <c r="C69" s="26" t="str">
        <f>IF(A69="","",VLOOKUP($A68,IF(LEN(A69)=2,MSB,MSA),VLOOKUP(LEFT(A69,1),Teams,6,FALSE),FALSE))</f>
        <v>Richard Reeks</v>
      </c>
      <c r="D69" s="26" t="str">
        <f>IF(A69="","",VLOOKUP($A68,IF(LEN(A69)=2,MSB,MSA),VLOOKUP(LEFT(A69,1),Teams,7,FALSE),FALSE))</f>
        <v>SM</v>
      </c>
      <c r="E69" s="26" t="str">
        <f>IF(A69="","",VLOOKUP(LEFT(A69,1),Teams,2,FALSE))</f>
        <v>Crawley</v>
      </c>
      <c r="F69" s="10" t="s">
        <v>103</v>
      </c>
      <c r="G69" s="43">
        <v>4</v>
      </c>
      <c r="H69" s="14"/>
      <c r="I69" s="35">
        <f>IF(OR(F69="",F69-VLOOKUP($A68,AWstandards,12,FALSE)&gt;0),0,INT(VLOOKUP($A68,AWstandards,11,FALSE)*(VLOOKUP($A68,AWstandards,12,FALSE)-F69)^VLOOKUP($A68,AWstandards,13,FALSE)+0.5))</f>
        <v>777</v>
      </c>
      <c r="J69" s="32" t="str">
        <f>IF(F69="","",IF(F69-VLOOKUP($A68,AWstandards,VLOOKUP(D69,Age,2,FALSE),FALSE)&gt;0,"","aw"))</f>
        <v>aw</v>
      </c>
      <c r="K69" s="39">
        <f aca="true" t="shared" si="8" ref="K69:N72">IF($A69="","",IF(LEFT($A69,1)=K$8,$G69,""))</f>
      </c>
      <c r="L69" s="39">
        <f t="shared" si="8"/>
        <v>4</v>
      </c>
      <c r="M69" s="39">
        <f t="shared" si="8"/>
      </c>
      <c r="N69" s="39">
        <f t="shared" si="8"/>
      </c>
      <c r="O69" s="39"/>
      <c r="P69" s="35"/>
      <c r="R69" t="s">
        <v>793</v>
      </c>
    </row>
    <row r="70" spans="1:18" ht="12.75">
      <c r="A70" s="4" t="s">
        <v>327</v>
      </c>
      <c r="B70" s="107">
        <v>2</v>
      </c>
      <c r="C70" s="26" t="str">
        <f>IF(A70="","",VLOOKUP($A68,IF(LEN(A70)=2,MSB,MSA),VLOOKUP(LEFT(A70,1),Teams,6,FALSE),FALSE))</f>
        <v>Neil Woodfine</v>
      </c>
      <c r="D70" s="26" t="str">
        <f>IF(A70="","",VLOOKUP($A68,IF(LEN(A70)=2,MSB,MSA),VLOOKUP(LEFT(A70,1),Teams,7,FALSE),FALSE))</f>
        <v>SM</v>
      </c>
      <c r="E70" s="26" t="str">
        <f>IF(A70="","",VLOOKUP(LEFT(A70,1),Teams,2,FALSE))</f>
        <v>Tonbridge</v>
      </c>
      <c r="F70" s="10" t="s">
        <v>174</v>
      </c>
      <c r="G70" s="43">
        <v>3</v>
      </c>
      <c r="H70" s="14"/>
      <c r="I70" s="35">
        <f>IF(OR(F70="",F70-VLOOKUP($A68,AWstandards,12,FALSE)&gt;0),0,INT(VLOOKUP($A68,AWstandards,11,FALSE)*(VLOOKUP($A68,AWstandards,12,FALSE)-F70)^VLOOKUP($A68,AWstandards,13,FALSE)+0.5))</f>
        <v>498</v>
      </c>
      <c r="J70" s="32">
        <f>IF(F70="","",IF(F70-VLOOKUP($A68,AWstandards,VLOOKUP(D70,Age,2,FALSE),FALSE)&gt;0,"","aw"))</f>
      </c>
      <c r="K70" s="39">
        <f t="shared" si="8"/>
      </c>
      <c r="L70" s="39">
        <f t="shared" si="8"/>
      </c>
      <c r="M70" s="39">
        <f t="shared" si="8"/>
      </c>
      <c r="N70" s="39">
        <f t="shared" si="8"/>
        <v>3</v>
      </c>
      <c r="O70" s="39"/>
      <c r="P70" s="35"/>
      <c r="R70" t="s">
        <v>793</v>
      </c>
    </row>
    <row r="71" spans="1:18" ht="12.75">
      <c r="A71" s="4" t="s">
        <v>312</v>
      </c>
      <c r="B71" s="107">
        <v>3</v>
      </c>
      <c r="C71" s="26" t="str">
        <f>IF(A71="","",VLOOKUP($A68,IF(LEN(A71)=2,MSB,MSA),VLOOKUP(LEFT(A71,1),Teams,6,FALSE),FALSE))</f>
        <v>Martin Lay</v>
      </c>
      <c r="D71" s="26" t="str">
        <f>IF(A71="","",VLOOKUP($A68,IF(LEN(A71)=2,MSB,MSA),VLOOKUP(LEFT(A71,1),Teams,7,FALSE),FALSE))</f>
        <v>U23</v>
      </c>
      <c r="E71" s="26" t="str">
        <f>IF(A71="","",VLOOKUP(LEFT(A71,1),Teams,2,FALSE))</f>
        <v>Epsom &amp; Ewell</v>
      </c>
      <c r="F71" s="10" t="s">
        <v>175</v>
      </c>
      <c r="G71" s="43">
        <v>2</v>
      </c>
      <c r="H71" s="14"/>
      <c r="I71" s="35">
        <f>IF(OR(F71="",F71-VLOOKUP($A68,AWstandards,12,FALSE)&gt;0),0,INT(VLOOKUP($A68,AWstandards,11,FALSE)*(VLOOKUP($A68,AWstandards,12,FALSE)-F71)^VLOOKUP($A68,AWstandards,13,FALSE)+0.5))</f>
        <v>446</v>
      </c>
      <c r="J71" s="32">
        <f>IF(F71="","",IF(F71-VLOOKUP($A68,AWstandards,VLOOKUP(D71,Age,2,FALSE),FALSE)&gt;0,"","aw"))</f>
      </c>
      <c r="K71" s="39">
        <f t="shared" si="8"/>
        <v>2</v>
      </c>
      <c r="L71" s="39">
        <f t="shared" si="8"/>
      </c>
      <c r="M71" s="39">
        <f t="shared" si="8"/>
      </c>
      <c r="N71" s="39">
        <f t="shared" si="8"/>
      </c>
      <c r="O71" s="39"/>
      <c r="P71" s="35"/>
      <c r="R71" t="s">
        <v>793</v>
      </c>
    </row>
    <row r="72" spans="1:18" ht="12.75">
      <c r="A72" s="4" t="s">
        <v>320</v>
      </c>
      <c r="B72" s="107">
        <v>4</v>
      </c>
      <c r="C72" s="26" t="str">
        <f>IF(A72="","",VLOOKUP($A68,IF(LEN(A72)=2,MSB,MSA),VLOOKUP(LEFT(A72,1),Teams,6,FALSE),FALSE))</f>
        <v>David Pearson</v>
      </c>
      <c r="D72" s="26" t="str">
        <f>IF(A72="","",VLOOKUP($A68,IF(LEN(A72)=2,MSB,MSA),VLOOKUP(LEFT(A72,1),Teams,7,FALSE),FALSE))</f>
        <v>M45</v>
      </c>
      <c r="E72" s="26" t="str">
        <f>IF(A72="","",VLOOKUP(LEFT(A72,1),Teams,2,FALSE))</f>
        <v>Team Dorset</v>
      </c>
      <c r="F72" s="10" t="s">
        <v>176</v>
      </c>
      <c r="G72" s="43">
        <v>1</v>
      </c>
      <c r="H72" s="14"/>
      <c r="I72" s="35">
        <f>IF(OR(F72="",F72-VLOOKUP($A68,AWstandards,12,FALSE)&gt;0),0,INT(VLOOKUP($A68,AWstandards,11,FALSE)*(VLOOKUP($A68,AWstandards,12,FALSE)-F72)^VLOOKUP($A68,AWstandards,13,FALSE)+0.5))</f>
        <v>336</v>
      </c>
      <c r="J72" s="32">
        <f>IF(F72="","",IF(F72-VLOOKUP($A68,AWstandards,VLOOKUP(D72,Age,2,FALSE),FALSE)&gt;0,"","aw"))</f>
      </c>
      <c r="K72" s="39">
        <f t="shared" si="8"/>
      </c>
      <c r="L72" s="39">
        <f t="shared" si="8"/>
      </c>
      <c r="M72" s="39">
        <f t="shared" si="8"/>
        <v>1</v>
      </c>
      <c r="N72" s="39">
        <f t="shared" si="8"/>
      </c>
      <c r="O72" s="39">
        <f>10-SUM(K69:N72)</f>
        <v>0</v>
      </c>
      <c r="P72" s="35"/>
      <c r="R72" t="s">
        <v>793</v>
      </c>
    </row>
    <row r="73" spans="1:16" ht="12.75">
      <c r="A73" s="106" t="s">
        <v>987</v>
      </c>
      <c r="B73" s="17"/>
      <c r="C73" s="27" t="s">
        <v>685</v>
      </c>
      <c r="D73" s="28" t="s">
        <v>963</v>
      </c>
      <c r="E73" s="16"/>
      <c r="F73" s="9"/>
      <c r="G73" s="42"/>
      <c r="H73" s="14"/>
      <c r="I73" s="35"/>
      <c r="J73" s="35"/>
      <c r="K73" s="39"/>
      <c r="L73" s="39"/>
      <c r="M73" s="39"/>
      <c r="N73" s="39"/>
      <c r="O73" s="39"/>
      <c r="P73" s="35" t="s">
        <v>783</v>
      </c>
    </row>
    <row r="74" spans="1:18" ht="12.75">
      <c r="A74" s="4" t="s">
        <v>321</v>
      </c>
      <c r="B74" s="107">
        <v>1</v>
      </c>
      <c r="C74" s="26" t="str">
        <f>IF(A74="","",VLOOKUP($A73,IF(LEN(A74)=2,MSB,MSA),VLOOKUP(LEFT(A74,1),Teams,6,FALSE),FALSE))</f>
        <v>George Grainger </v>
      </c>
      <c r="D74" s="26" t="str">
        <f>IF(A74="","",VLOOKUP($A73,IF(LEN(A74)=2,MSB,MSA),VLOOKUP(LEFT(A74,1),Teams,7,FALSE),FALSE))</f>
        <v>U23</v>
      </c>
      <c r="E74" s="26" t="str">
        <f>IF(A74="","",VLOOKUP(LEFT(A74,1),Teams,2,FALSE))</f>
        <v>Crawley</v>
      </c>
      <c r="F74" s="10" t="s">
        <v>177</v>
      </c>
      <c r="G74" s="43">
        <v>4</v>
      </c>
      <c r="H74" s="14"/>
      <c r="I74" s="35">
        <f>IF(OR(F74="",F74-VLOOKUP($A73,AWstandards,12,FALSE)&gt;0),0,INT(VLOOKUP($A73,AWstandards,11,FALSE)*(VLOOKUP($A73,AWstandards,12,FALSE)-F74)^VLOOKUP($A73,AWstandards,13,FALSE)+0.5))</f>
        <v>755</v>
      </c>
      <c r="J74" s="32" t="str">
        <f>IF(F74="","",IF(F74-VLOOKUP($A73,AWstandards,VLOOKUP(D74,Age,2,FALSE),FALSE)&gt;0,"","aw"))</f>
        <v>aw</v>
      </c>
      <c r="K74" s="39">
        <f aca="true" t="shared" si="9" ref="K74:N77">IF($A74="","",IF(LEFT($A74,1)=K$8,$G74,""))</f>
      </c>
      <c r="L74" s="39">
        <f t="shared" si="9"/>
        <v>4</v>
      </c>
      <c r="M74" s="39">
        <f t="shared" si="9"/>
      </c>
      <c r="N74" s="39">
        <f t="shared" si="9"/>
      </c>
      <c r="O74" s="39"/>
      <c r="P74" s="35"/>
      <c r="R74" t="s">
        <v>793</v>
      </c>
    </row>
    <row r="75" spans="1:18" ht="12.75">
      <c r="A75" s="4" t="s">
        <v>322</v>
      </c>
      <c r="B75" s="107">
        <v>2</v>
      </c>
      <c r="C75" s="26" t="str">
        <f>IF(A75="","",VLOOKUP($A73,IF(LEN(A75)=2,MSB,MSA),VLOOKUP(LEFT(A75,1),Teams,6,FALSE),FALSE))</f>
        <v>Aaron Waterman</v>
      </c>
      <c r="D75" s="26" t="str">
        <f>IF(A75="","",VLOOKUP($A73,IF(LEN(A75)=2,MSB,MSA),VLOOKUP(LEFT(A75,1),Teams,7,FALSE),FALSE))</f>
        <v>SM</v>
      </c>
      <c r="E75" s="26" t="str">
        <f>IF(A75="","",VLOOKUP(LEFT(A75,1),Teams,2,FALSE))</f>
        <v>Tonbridge</v>
      </c>
      <c r="F75" s="10" t="s">
        <v>955</v>
      </c>
      <c r="G75" s="43">
        <v>3</v>
      </c>
      <c r="H75" s="14"/>
      <c r="I75" s="35">
        <f>IF(OR(F75="",F75-VLOOKUP($A73,AWstandards,12,FALSE)&gt;0),0,INT(VLOOKUP($A73,AWstandards,11,FALSE)*(VLOOKUP($A73,AWstandards,12,FALSE)-F75)^VLOOKUP($A73,AWstandards,13,FALSE)+0.5))</f>
        <v>374</v>
      </c>
      <c r="J75" s="32">
        <f>IF(F75="","",IF(F75-VLOOKUP($A73,AWstandards,VLOOKUP(D75,Age,2,FALSE),FALSE)&gt;0,"","aw"))</f>
      </c>
      <c r="K75" s="39">
        <f t="shared" si="9"/>
      </c>
      <c r="L75" s="39">
        <f t="shared" si="9"/>
      </c>
      <c r="M75" s="39">
        <f t="shared" si="9"/>
      </c>
      <c r="N75" s="39">
        <f t="shared" si="9"/>
        <v>3</v>
      </c>
      <c r="O75" s="39"/>
      <c r="P75" s="35"/>
      <c r="R75" t="s">
        <v>793</v>
      </c>
    </row>
    <row r="76" spans="1:18" ht="12.75">
      <c r="A76" s="4"/>
      <c r="B76" s="107">
        <v>3</v>
      </c>
      <c r="C76" s="26">
        <f>IF(A76="","",VLOOKUP($A73,IF(LEN(A76)=2,MSB,MSA),VLOOKUP(LEFT(A76,1),Teams,6,FALSE),FALSE))</f>
      </c>
      <c r="D76" s="26">
        <f>IF(A76="","",VLOOKUP($A73,IF(LEN(A76)=2,MSB,MSA),VLOOKUP(LEFT(A76,1),Teams,7,FALSE),FALSE))</f>
      </c>
      <c r="E76" s="26">
        <f>IF(A76="","",VLOOKUP(LEFT(A76,1),Teams,2,FALSE))</f>
      </c>
      <c r="F76" s="10"/>
      <c r="G76" s="43">
        <v>2</v>
      </c>
      <c r="H76" s="14"/>
      <c r="I76" s="35">
        <f>IF(OR(F76="",F76-VLOOKUP($A73,AWstandards,12,FALSE)&gt;0),0,INT(VLOOKUP($A73,AWstandards,11,FALSE)*(VLOOKUP($A73,AWstandards,12,FALSE)-F76)^VLOOKUP($A73,AWstandards,13,FALSE)+0.5))</f>
        <v>0</v>
      </c>
      <c r="J76" s="32">
        <f>IF(F76="","",IF(F76-VLOOKUP($A73,AWstandards,VLOOKUP(D76,Age,2,FALSE),FALSE)&gt;0,"","aw"))</f>
      </c>
      <c r="K76" s="39">
        <f t="shared" si="9"/>
      </c>
      <c r="L76" s="39">
        <f t="shared" si="9"/>
      </c>
      <c r="M76" s="39">
        <f t="shared" si="9"/>
      </c>
      <c r="N76" s="39">
        <f t="shared" si="9"/>
      </c>
      <c r="O76" s="39"/>
      <c r="P76" s="35"/>
      <c r="R76" t="s">
        <v>793</v>
      </c>
    </row>
    <row r="77" spans="1:18" ht="12.75">
      <c r="A77" s="4"/>
      <c r="B77" s="107">
        <v>4</v>
      </c>
      <c r="C77" s="26">
        <f>IF(A77="","",VLOOKUP($A73,IF(LEN(A77)=2,MSB,MSA),VLOOKUP(LEFT(A77,1),Teams,6,FALSE),FALSE))</f>
      </c>
      <c r="D77" s="26">
        <f>IF(A77="","",VLOOKUP($A73,IF(LEN(A77)=2,MSB,MSA),VLOOKUP(LEFT(A77,1),Teams,7,FALSE),FALSE))</f>
      </c>
      <c r="E77" s="26">
        <f>IF(A77="","",VLOOKUP(LEFT(A77,1),Teams,2,FALSE))</f>
      </c>
      <c r="F77" s="10"/>
      <c r="G77" s="43">
        <v>1</v>
      </c>
      <c r="H77" s="14"/>
      <c r="I77" s="35">
        <f>IF(OR(F77="",F77-VLOOKUP($A73,AWstandards,12,FALSE)&gt;0),0,INT(VLOOKUP($A73,AWstandards,11,FALSE)*(VLOOKUP($A73,AWstandards,12,FALSE)-F77)^VLOOKUP($A73,AWstandards,13,FALSE)+0.5))</f>
        <v>0</v>
      </c>
      <c r="J77" s="32">
        <f>IF(F77="","",IF(F77-VLOOKUP($A73,AWstandards,VLOOKUP(D77,Age,2,FALSE),FALSE)&gt;0,"","aw"))</f>
      </c>
      <c r="K77" s="39">
        <f t="shared" si="9"/>
      </c>
      <c r="L77" s="39">
        <f t="shared" si="9"/>
      </c>
      <c r="M77" s="39">
        <f t="shared" si="9"/>
      </c>
      <c r="N77" s="39">
        <f t="shared" si="9"/>
      </c>
      <c r="O77" s="39">
        <f>10-SUM(K74:N77)</f>
        <v>3</v>
      </c>
      <c r="P77" s="35"/>
      <c r="R77" t="s">
        <v>793</v>
      </c>
    </row>
    <row r="78" spans="1:16" ht="12.75">
      <c r="A78" s="106" t="s">
        <v>986</v>
      </c>
      <c r="B78" s="17"/>
      <c r="C78" s="27" t="s">
        <v>686</v>
      </c>
      <c r="D78" s="28"/>
      <c r="E78" s="29"/>
      <c r="F78" s="9"/>
      <c r="G78" s="42"/>
      <c r="H78" s="14"/>
      <c r="I78" s="35"/>
      <c r="J78" s="35"/>
      <c r="K78" s="39"/>
      <c r="L78" s="39"/>
      <c r="M78" s="39"/>
      <c r="N78" s="39"/>
      <c r="O78" s="39"/>
      <c r="P78" s="35" t="s">
        <v>919</v>
      </c>
    </row>
    <row r="79" spans="1:18" ht="12.75">
      <c r="A79" s="4" t="s">
        <v>315</v>
      </c>
      <c r="B79" s="107">
        <v>1</v>
      </c>
      <c r="C79" s="26" t="str">
        <f>IF(A79="","",VLOOKUP($A78,IF(LEN(A79)=2,MSB,MSA),VLOOKUP(LEFT(A79,1),Teams,6,FALSE),FALSE))</f>
        <v>George Grainger</v>
      </c>
      <c r="D79" s="26" t="str">
        <f>IF(A79="","",VLOOKUP($A78,IF(LEN(A79)=2,MSB,MSA),VLOOKUP(LEFT(A79,1),Teams,7,FALSE),FALSE))</f>
        <v>U23</v>
      </c>
      <c r="E79" s="26" t="str">
        <f>IF(A79="","",VLOOKUP(LEFT(A79,1),Teams,2,FALSE))</f>
        <v>Crawley</v>
      </c>
      <c r="F79" s="10" t="s">
        <v>323</v>
      </c>
      <c r="G79" s="43">
        <v>4</v>
      </c>
      <c r="H79" s="14"/>
      <c r="I79" s="35">
        <f>IF(OR(F79="",F79-VLOOKUP($A78,AWstandards,12,FALSE)&gt;0),0,INT(VLOOKUP($A78,AWstandards,11,FALSE)*(VLOOKUP($A78,AWstandards,12,FALSE)-F79)^VLOOKUP($A78,AWstandards,13,FALSE)+0.5))</f>
        <v>781</v>
      </c>
      <c r="J79" s="32" t="str">
        <f>IF(F79="","",IF(F79-VLOOKUP($A78,AWstandards,VLOOKUP(D79,Age,2,FALSE),FALSE)&gt;0,"","aw"))</f>
        <v>aw</v>
      </c>
      <c r="K79" s="39">
        <f aca="true" t="shared" si="10" ref="K79:N82">IF($A79="","",IF(LEFT($A79,1)=K$8,$G79,""))</f>
      </c>
      <c r="L79" s="39">
        <f t="shared" si="10"/>
        <v>4</v>
      </c>
      <c r="M79" s="39">
        <f t="shared" si="10"/>
      </c>
      <c r="N79" s="39">
        <f t="shared" si="10"/>
      </c>
      <c r="O79" s="39"/>
      <c r="P79" s="35"/>
      <c r="R79" t="s">
        <v>800</v>
      </c>
    </row>
    <row r="80" spans="1:18" ht="12.75">
      <c r="A80" s="4" t="s">
        <v>618</v>
      </c>
      <c r="B80" s="107">
        <v>2</v>
      </c>
      <c r="C80" s="26" t="str">
        <f>IF(A80="","",VLOOKUP($A78,IF(LEN(A80)=2,MSB,MSA),VLOOKUP(LEFT(A80,1),Teams,6,FALSE),FALSE))</f>
        <v>Neil Woodfine</v>
      </c>
      <c r="D80" s="26" t="str">
        <f>IF(A80="","",VLOOKUP($A78,IF(LEN(A80)=2,MSB,MSA),VLOOKUP(LEFT(A80,1),Teams,7,FALSE),FALSE))</f>
        <v>SM</v>
      </c>
      <c r="E80" s="26" t="str">
        <f>IF(A80="","",VLOOKUP(LEFT(A80,1),Teams,2,FALSE))</f>
        <v>Tonbridge</v>
      </c>
      <c r="F80" s="10" t="s">
        <v>324</v>
      </c>
      <c r="G80" s="43">
        <v>3</v>
      </c>
      <c r="H80" s="14"/>
      <c r="I80" s="35">
        <f>IF(OR(F80="",F80-VLOOKUP($A78,AWstandards,12,FALSE)&gt;0),0,INT(VLOOKUP($A78,AWstandards,11,FALSE)*(VLOOKUP($A78,AWstandards,12,FALSE)-F80)^VLOOKUP($A78,AWstandards,13,FALSE)+0.5))</f>
        <v>666</v>
      </c>
      <c r="J80" s="32" t="str">
        <f>IF(F80="","",IF(F80-VLOOKUP($A78,AWstandards,VLOOKUP(D80,Age,2,FALSE),FALSE)&gt;0,"","aw"))</f>
        <v>aw</v>
      </c>
      <c r="K80" s="39">
        <f t="shared" si="10"/>
      </c>
      <c r="L80" s="39">
        <f t="shared" si="10"/>
      </c>
      <c r="M80" s="39">
        <f t="shared" si="10"/>
      </c>
      <c r="N80" s="39">
        <f t="shared" si="10"/>
        <v>3</v>
      </c>
      <c r="O80" s="39"/>
      <c r="P80" s="35"/>
      <c r="R80" t="s">
        <v>800</v>
      </c>
    </row>
    <row r="81" spans="1:18" ht="12.75">
      <c r="A81" s="4" t="s">
        <v>312</v>
      </c>
      <c r="B81" s="107">
        <v>3</v>
      </c>
      <c r="C81" s="26" t="str">
        <f>IF(A81="","",VLOOKUP($A78,IF(LEN(A81)=2,MSB,MSA),VLOOKUP(LEFT(A81,1),Teams,6,FALSE),FALSE))</f>
        <v>Martin Lay</v>
      </c>
      <c r="D81" s="26" t="str">
        <f>IF(A81="","",VLOOKUP($A78,IF(LEN(A81)=2,MSB,MSA),VLOOKUP(LEFT(A81,1),Teams,7,FALSE),FALSE))</f>
        <v>U23</v>
      </c>
      <c r="E81" s="26" t="str">
        <f>IF(A81="","",VLOOKUP(LEFT(A81,1),Teams,2,FALSE))</f>
        <v>Epsom &amp; Ewell</v>
      </c>
      <c r="F81" s="10" t="s">
        <v>325</v>
      </c>
      <c r="G81" s="43">
        <v>2</v>
      </c>
      <c r="H81" s="14"/>
      <c r="I81" s="35">
        <f>IF(OR(F81="",F81-VLOOKUP($A78,AWstandards,12,FALSE)&gt;0),0,INT(VLOOKUP($A78,AWstandards,11,FALSE)*(VLOOKUP($A78,AWstandards,12,FALSE)-F81)^VLOOKUP($A78,AWstandards,13,FALSE)+0.5))</f>
        <v>508</v>
      </c>
      <c r="J81" s="32">
        <f>IF(F81="","",IF(F81-VLOOKUP($A78,AWstandards,VLOOKUP(D81,Age,2,FALSE),FALSE)&gt;0,"","aw"))</f>
      </c>
      <c r="K81" s="39">
        <f t="shared" si="10"/>
        <v>2</v>
      </c>
      <c r="L81" s="39">
        <f t="shared" si="10"/>
      </c>
      <c r="M81" s="39">
        <f t="shared" si="10"/>
      </c>
      <c r="N81" s="39">
        <f t="shared" si="10"/>
      </c>
      <c r="O81" s="39"/>
      <c r="P81" s="35"/>
      <c r="R81" t="s">
        <v>800</v>
      </c>
    </row>
    <row r="82" spans="1:18" ht="12.75">
      <c r="A82" s="4" t="s">
        <v>320</v>
      </c>
      <c r="B82" s="107">
        <v>4</v>
      </c>
      <c r="C82" s="26" t="str">
        <f>IF(A82="","",VLOOKUP($A78,IF(LEN(A82)=2,MSB,MSA),VLOOKUP(LEFT(A82,1),Teams,6,FALSE),FALSE))</f>
        <v>David Pearson</v>
      </c>
      <c r="D82" s="26" t="str">
        <f>IF(A82="","",VLOOKUP($A78,IF(LEN(A82)=2,MSB,MSA),VLOOKUP(LEFT(A82,1),Teams,7,FALSE),FALSE))</f>
        <v>M45</v>
      </c>
      <c r="E82" s="26" t="str">
        <f>IF(A82="","",VLOOKUP(LEFT(A82,1),Teams,2,FALSE))</f>
        <v>Team Dorset</v>
      </c>
      <c r="F82" s="10" t="s">
        <v>764</v>
      </c>
      <c r="G82" s="43">
        <v>1</v>
      </c>
      <c r="H82" s="14"/>
      <c r="I82" s="35">
        <f>IF(OR(F82="",F82-VLOOKUP($A78,AWstandards,12,FALSE)&gt;0),0,INT(VLOOKUP($A78,AWstandards,11,FALSE)*(VLOOKUP($A78,AWstandards,12,FALSE)-F82)^VLOOKUP($A78,AWstandards,13,FALSE)+0.5))</f>
        <v>299</v>
      </c>
      <c r="J82" s="32">
        <f>IF(F82="","",IF(F82-VLOOKUP($A78,AWstandards,VLOOKUP(D82,Age,2,FALSE),FALSE)&gt;0,"","aw"))</f>
      </c>
      <c r="K82" s="39">
        <f t="shared" si="10"/>
      </c>
      <c r="L82" s="39">
        <f t="shared" si="10"/>
      </c>
      <c r="M82" s="39">
        <f t="shared" si="10"/>
        <v>1</v>
      </c>
      <c r="N82" s="39">
        <f t="shared" si="10"/>
      </c>
      <c r="O82" s="39">
        <f>10-SUM(K79:N82)</f>
        <v>0</v>
      </c>
      <c r="P82" s="35"/>
      <c r="R82" t="s">
        <v>800</v>
      </c>
    </row>
    <row r="83" spans="1:16" ht="12.75">
      <c r="A83" s="106" t="s">
        <v>986</v>
      </c>
      <c r="B83" s="17"/>
      <c r="C83" s="27" t="s">
        <v>687</v>
      </c>
      <c r="D83" s="28"/>
      <c r="E83" s="29"/>
      <c r="F83" s="9"/>
      <c r="G83" s="42"/>
      <c r="H83" s="14"/>
      <c r="I83" s="35"/>
      <c r="J83" s="35"/>
      <c r="K83" s="39"/>
      <c r="L83" s="39"/>
      <c r="M83" s="39"/>
      <c r="N83" s="39"/>
      <c r="O83" s="39"/>
      <c r="P83" s="35" t="s">
        <v>920</v>
      </c>
    </row>
    <row r="84" spans="1:18" ht="12.75">
      <c r="A84" s="4" t="s">
        <v>321</v>
      </c>
      <c r="B84" s="107">
        <v>1</v>
      </c>
      <c r="C84" s="26" t="str">
        <f>IF(A84="","",VLOOKUP($A83,IF(LEN(A84)=2,MSB,MSA),VLOOKUP(LEFT(A84,1),Teams,6,FALSE),FALSE))</f>
        <v>Sam Cunningham</v>
      </c>
      <c r="D84" s="26" t="str">
        <f>IF(A84="","",VLOOKUP($A83,IF(LEN(A84)=2,MSB,MSA),VLOOKUP(LEFT(A84,1),Teams,7,FALSE),FALSE))</f>
        <v>U20</v>
      </c>
      <c r="E84" s="26" t="str">
        <f>IF(A84="","",VLOOKUP(LEFT(A84,1),Teams,2,FALSE))</f>
        <v>Crawley</v>
      </c>
      <c r="F84" s="10" t="s">
        <v>1053</v>
      </c>
      <c r="G84" s="43">
        <v>4</v>
      </c>
      <c r="H84" s="14"/>
      <c r="I84" s="35">
        <f>IF(OR(F84="",F84-VLOOKUP($A83,AWstandards,12,FALSE)&gt;0),0,INT(VLOOKUP($A83,AWstandards,11,FALSE)*(VLOOKUP($A83,AWstandards,12,FALSE)-F84)^VLOOKUP($A83,AWstandards,13,FALSE)+0.5))</f>
        <v>676</v>
      </c>
      <c r="J84" s="32" t="str">
        <f>IF(F84="","",IF(F84-VLOOKUP($A83,AWstandards,VLOOKUP(D84,Age,2,FALSE),FALSE)&gt;0,"","aw"))</f>
        <v>aw</v>
      </c>
      <c r="K84" s="39">
        <f aca="true" t="shared" si="11" ref="K84:N87">IF($A84="","",IF(LEFT($A84,1)=K$8,$G84,""))</f>
      </c>
      <c r="L84" s="39">
        <f t="shared" si="11"/>
        <v>4</v>
      </c>
      <c r="M84" s="39">
        <f t="shared" si="11"/>
      </c>
      <c r="N84" s="39">
        <f t="shared" si="11"/>
      </c>
      <c r="O84" s="39"/>
      <c r="P84" s="35"/>
      <c r="R84" t="s">
        <v>800</v>
      </c>
    </row>
    <row r="85" spans="1:18" ht="12.75">
      <c r="A85" s="4" t="s">
        <v>322</v>
      </c>
      <c r="B85" s="107">
        <v>2</v>
      </c>
      <c r="C85" s="26" t="str">
        <f>IF(A85="","",VLOOKUP($A83,IF(LEN(A85)=2,MSB,MSA),VLOOKUP(LEFT(A85,1),Teams,6,FALSE),FALSE))</f>
        <v>Aaron Waterman</v>
      </c>
      <c r="D85" s="26" t="str">
        <f>IF(A85="","",VLOOKUP($A83,IF(LEN(A85)=2,MSB,MSA),VLOOKUP(LEFT(A85,1),Teams,7,FALSE),FALSE))</f>
        <v>SM</v>
      </c>
      <c r="E85" s="26" t="str">
        <f>IF(A85="","",VLOOKUP(LEFT(A85,1),Teams,2,FALSE))</f>
        <v>Tonbridge</v>
      </c>
      <c r="F85" s="10" t="s">
        <v>1071</v>
      </c>
      <c r="G85" s="43">
        <v>3</v>
      </c>
      <c r="H85" s="14"/>
      <c r="I85" s="35">
        <f>IF(OR(F85="",F85-VLOOKUP($A83,AWstandards,12,FALSE)&gt;0),0,INT(VLOOKUP($A83,AWstandards,11,FALSE)*(VLOOKUP($A83,AWstandards,12,FALSE)-F85)^VLOOKUP($A83,AWstandards,13,FALSE)+0.5))</f>
        <v>497</v>
      </c>
      <c r="J85" s="32">
        <f>IF(F85="","",IF(F85-VLOOKUP($A83,AWstandards,VLOOKUP(D85,Age,2,FALSE),FALSE)&gt;0,"","aw"))</f>
      </c>
      <c r="K85" s="39">
        <f t="shared" si="11"/>
      </c>
      <c r="L85" s="39">
        <f t="shared" si="11"/>
      </c>
      <c r="M85" s="39">
        <f t="shared" si="11"/>
      </c>
      <c r="N85" s="39">
        <f t="shared" si="11"/>
        <v>3</v>
      </c>
      <c r="O85" s="39"/>
      <c r="P85" s="35"/>
      <c r="R85" t="s">
        <v>800</v>
      </c>
    </row>
    <row r="86" spans="1:18" ht="12.75">
      <c r="A86" s="4" t="s">
        <v>313</v>
      </c>
      <c r="B86" s="107">
        <v>3</v>
      </c>
      <c r="C86" s="26" t="str">
        <f>IF(A86="","",VLOOKUP($A83,IF(LEN(A86)=2,MSB,MSA),VLOOKUP(LEFT(A86,1),Teams,6,FALSE),FALSE))</f>
        <v>Alex Gurteen</v>
      </c>
      <c r="D86" s="26" t="str">
        <f>IF(A86="","",VLOOKUP($A83,IF(LEN(A86)=2,MSB,MSA),VLOOKUP(LEFT(A86,1),Teams,7,FALSE),FALSE))</f>
        <v>U17</v>
      </c>
      <c r="E86" s="26" t="str">
        <f>IF(A86="","",VLOOKUP(LEFT(A86,1),Teams,2,FALSE))</f>
        <v>Epsom &amp; Ewell</v>
      </c>
      <c r="F86" s="10" t="s">
        <v>326</v>
      </c>
      <c r="G86" s="43">
        <v>2</v>
      </c>
      <c r="H86" s="14"/>
      <c r="I86" s="35">
        <f>IF(OR(F86="",F86-VLOOKUP($A83,AWstandards,12,FALSE)&gt;0),0,INT(VLOOKUP($A83,AWstandards,11,FALSE)*(VLOOKUP($A83,AWstandards,12,FALSE)-F86)^VLOOKUP($A83,AWstandards,13,FALSE)+0.5))</f>
        <v>273</v>
      </c>
      <c r="J86" s="32">
        <f>IF(F86="","",IF(F86-VLOOKUP($A83,AWstandards,VLOOKUP(D86,Age,2,FALSE),FALSE)&gt;0,"","aw"))</f>
      </c>
      <c r="K86" s="39">
        <f t="shared" si="11"/>
        <v>2</v>
      </c>
      <c r="L86" s="39">
        <f t="shared" si="11"/>
      </c>
      <c r="M86" s="39">
        <f t="shared" si="11"/>
      </c>
      <c r="N86" s="39">
        <f t="shared" si="11"/>
      </c>
      <c r="O86" s="39"/>
      <c r="P86" s="35"/>
      <c r="R86" t="s">
        <v>800</v>
      </c>
    </row>
    <row r="87" spans="1:18" ht="12.75">
      <c r="A87" s="4"/>
      <c r="B87" s="107">
        <v>4</v>
      </c>
      <c r="C87" s="26">
        <f>IF(A87="","",VLOOKUP($A83,IF(LEN(A87)=2,MSB,MSA),VLOOKUP(LEFT(A87,1),Teams,6,FALSE),FALSE))</f>
      </c>
      <c r="D87" s="26">
        <f>IF(A87="","",VLOOKUP($A83,IF(LEN(A87)=2,MSB,MSA),VLOOKUP(LEFT(A87,1),Teams,7,FALSE),FALSE))</f>
      </c>
      <c r="E87" s="26">
        <f>IF(A87="","",VLOOKUP(LEFT(A87,1),Teams,2,FALSE))</f>
      </c>
      <c r="F87" s="10"/>
      <c r="G87" s="43">
        <v>1</v>
      </c>
      <c r="H87" s="14"/>
      <c r="I87" s="35">
        <f>IF(OR(F87="",F87-VLOOKUP($A83,AWstandards,12,FALSE)&gt;0),0,INT(VLOOKUP($A83,AWstandards,11,FALSE)*(VLOOKUP($A83,AWstandards,12,FALSE)-F87)^VLOOKUP($A83,AWstandards,13,FALSE)+0.5))</f>
        <v>0</v>
      </c>
      <c r="J87" s="32">
        <f>IF(F87="","",IF(F87-VLOOKUP($A83,AWstandards,VLOOKUP(D87,Age,2,FALSE),FALSE)&gt;0,"","aw"))</f>
      </c>
      <c r="K87" s="39">
        <f t="shared" si="11"/>
      </c>
      <c r="L87" s="39">
        <f t="shared" si="11"/>
      </c>
      <c r="M87" s="39">
        <f t="shared" si="11"/>
      </c>
      <c r="N87" s="39">
        <f t="shared" si="11"/>
      </c>
      <c r="O87" s="39">
        <f>10-SUM(K84:N87)</f>
        <v>1</v>
      </c>
      <c r="P87" s="35"/>
      <c r="R87" t="s">
        <v>800</v>
      </c>
    </row>
    <row r="88" spans="1:16" ht="12.75">
      <c r="A88" s="105" t="str">
        <f>Dec!A$19</f>
        <v>2000SC</v>
      </c>
      <c r="B88" s="17"/>
      <c r="C88" s="28" t="str">
        <f>"Men's A "&amp;IF(INT(VALUE(MID(Dec!$B$1,2,1))/2)*2=VALUE(MID(Dec!$B$1,2,1)),"3000m","2000m")&amp;" Steeplechase"</f>
        <v>Men's A 2000m Steeplechase</v>
      </c>
      <c r="D88" s="28"/>
      <c r="E88" s="29"/>
      <c r="F88" s="9"/>
      <c r="G88" s="42"/>
      <c r="H88" s="14"/>
      <c r="I88" s="35"/>
      <c r="J88" s="35"/>
      <c r="K88" s="39"/>
      <c r="L88" s="39"/>
      <c r="M88" s="39"/>
      <c r="N88" s="39"/>
      <c r="O88" s="39"/>
      <c r="P88" s="35" t="s">
        <v>784</v>
      </c>
    </row>
    <row r="89" spans="1:18" ht="12.75">
      <c r="A89" s="4" t="s">
        <v>312</v>
      </c>
      <c r="B89" s="107">
        <v>1</v>
      </c>
      <c r="C89" s="26" t="str">
        <f>IF(A89="","",VLOOKUP($A88,IF(LEN(A89)=2,MSB,MSA),VLOOKUP(LEFT(A89,1),Teams,6,FALSE),FALSE))</f>
        <v>Alex Hawkins</v>
      </c>
      <c r="D89" s="26" t="str">
        <f>IF(A89="","",VLOOKUP($A88,IF(LEN(A89)=2,MSB,MSA),VLOOKUP(LEFT(A89,1),Teams,7,FALSE),FALSE))</f>
        <v>SM</v>
      </c>
      <c r="E89" s="26" t="str">
        <f>IF(A89="","",VLOOKUP(LEFT(A89,1),Teams,2,FALSE))</f>
        <v>Epsom &amp; Ewell</v>
      </c>
      <c r="F89" s="10" t="s">
        <v>227</v>
      </c>
      <c r="G89" s="43">
        <v>4</v>
      </c>
      <c r="H89" s="14"/>
      <c r="I89" s="35">
        <f>IF(OR(F89="",TEXT(F89,"[s].0")-VLOOKUP($A88,AWstandards,12,FALSE)&gt;0),0,INT(VLOOKUP($A88,AWstandards,11,FALSE)*(VLOOKUP($A88,AWstandards,12,FALSE)-TEXT(F89,"[s].0"))^VLOOKUP($A88,AWstandards,13,FALSE)+0.5))</f>
        <v>650</v>
      </c>
      <c r="J89" s="32">
        <f>IF(F89="","",IF(F89-VLOOKUP($A88,AWstandards,VLOOKUP(D89,Age,2,FALSE),FALSE)&gt;0,"","aw"))</f>
      </c>
      <c r="K89" s="39">
        <f aca="true" t="shared" si="12" ref="K89:N92">IF($A89="","",IF(LEFT($A89,1)=K$8,$G89,""))</f>
        <v>4</v>
      </c>
      <c r="L89" s="39">
        <f t="shared" si="12"/>
      </c>
      <c r="M89" s="39">
        <f t="shared" si="12"/>
      </c>
      <c r="N89" s="39">
        <f t="shared" si="12"/>
      </c>
      <c r="O89" s="39"/>
      <c r="P89" s="35"/>
      <c r="R89" t="s">
        <v>455</v>
      </c>
    </row>
    <row r="90" spans="1:18" ht="12.75">
      <c r="A90" s="4" t="s">
        <v>327</v>
      </c>
      <c r="B90" s="107">
        <v>2</v>
      </c>
      <c r="C90" s="26" t="str">
        <f>IF(A90="","",VLOOKUP($A88,IF(LEN(A90)=2,MSB,MSA),VLOOKUP(LEFT(A90,1),Teams,6,FALSE),FALSE))</f>
        <v>Michael Ellis</v>
      </c>
      <c r="D90" s="26" t="str">
        <f>IF(A90="","",VLOOKUP($A88,IF(LEN(A90)=2,MSB,MSA),VLOOKUP(LEFT(A90,1),Teams,7,FALSE),FALSE))</f>
        <v>U20</v>
      </c>
      <c r="E90" s="26" t="str">
        <f>IF(A90="","",VLOOKUP(LEFT(A90,1),Teams,2,FALSE))</f>
        <v>Tonbridge</v>
      </c>
      <c r="F90" s="10" t="s">
        <v>228</v>
      </c>
      <c r="G90" s="43">
        <v>3</v>
      </c>
      <c r="H90" s="14"/>
      <c r="I90" s="35">
        <f>IF(OR(F90="",TEXT(F90,"[s].0")-VLOOKUP($A88,AWstandards,12,FALSE)&gt;0),0,INT(VLOOKUP($A88,AWstandards,11,FALSE)*(VLOOKUP($A88,AWstandards,12,FALSE)-TEXT(F90,"[s].0"))^VLOOKUP($A88,AWstandards,13,FALSE)+0.5))</f>
        <v>646</v>
      </c>
      <c r="J90" s="32" t="str">
        <f>IF(F90="","",IF(F90-VLOOKUP($A88,AWstandards,VLOOKUP(D90,Age,2,FALSE),FALSE)&gt;0,"","aw"))</f>
        <v>aw</v>
      </c>
      <c r="K90" s="39">
        <f t="shared" si="12"/>
      </c>
      <c r="L90" s="39">
        <f t="shared" si="12"/>
      </c>
      <c r="M90" s="39">
        <f t="shared" si="12"/>
      </c>
      <c r="N90" s="39">
        <f t="shared" si="12"/>
        <v>3</v>
      </c>
      <c r="O90" s="39"/>
      <c r="P90" s="35"/>
      <c r="R90" t="s">
        <v>455</v>
      </c>
    </row>
    <row r="91" spans="1:18" ht="12.75">
      <c r="A91" s="4" t="s">
        <v>320</v>
      </c>
      <c r="B91" s="107">
        <v>3</v>
      </c>
      <c r="C91" s="26" t="str">
        <f>IF(A91="","",VLOOKUP($A88,IF(LEN(A91)=2,MSB,MSA),VLOOKUP(LEFT(A91,1),Teams,6,FALSE),FALSE))</f>
        <v>Tom Freeman</v>
      </c>
      <c r="D91" s="26" t="str">
        <f>IF(A91="","",VLOOKUP($A88,IF(LEN(A91)=2,MSB,MSA),VLOOKUP(LEFT(A91,1),Teams,7,FALSE),FALSE))</f>
        <v>U17</v>
      </c>
      <c r="E91" s="26" t="str">
        <f>IF(A91="","",VLOOKUP(LEFT(A91,1),Teams,2,FALSE))</f>
        <v>Team Dorset</v>
      </c>
      <c r="F91" s="10" t="s">
        <v>229</v>
      </c>
      <c r="G91" s="43">
        <v>2</v>
      </c>
      <c r="H91" s="14"/>
      <c r="I91" s="35">
        <f>IF(OR(F91="",TEXT(F91,"[s].0")-VLOOKUP($A88,AWstandards,12,FALSE)&gt;0),0,INT(VLOOKUP($A88,AWstandards,11,FALSE)*(VLOOKUP($A88,AWstandards,12,FALSE)-TEXT(F91,"[s].0"))^VLOOKUP($A88,AWstandards,13,FALSE)+0.5))</f>
        <v>533</v>
      </c>
      <c r="J91" s="32">
        <f>IF(F91="","",IF(F91-VLOOKUP($A88,AWstandards,VLOOKUP(D91,Age,2,FALSE),FALSE)&gt;0,"","aw"))</f>
      </c>
      <c r="K91" s="39">
        <f t="shared" si="12"/>
      </c>
      <c r="L91" s="39">
        <f t="shared" si="12"/>
      </c>
      <c r="M91" s="39">
        <f t="shared" si="12"/>
        <v>2</v>
      </c>
      <c r="N91" s="39">
        <f t="shared" si="12"/>
      </c>
      <c r="O91" s="39"/>
      <c r="P91" s="35"/>
      <c r="R91" t="s">
        <v>455</v>
      </c>
    </row>
    <row r="92" spans="1:18" ht="12.75">
      <c r="A92" s="4" t="s">
        <v>321</v>
      </c>
      <c r="B92" s="107">
        <v>4</v>
      </c>
      <c r="C92" s="26" t="str">
        <f>IF(A92="","",VLOOKUP($A88,IF(LEN(A92)=2,MSB,MSA),VLOOKUP(LEFT(A92,1),Teams,6,FALSE),FALSE))</f>
        <v>Tim Ellis </v>
      </c>
      <c r="D92" s="26" t="str">
        <f>IF(A92="","",VLOOKUP($A88,IF(LEN(A92)=2,MSB,MSA),VLOOKUP(LEFT(A92,1),Teams,7,FALSE),FALSE))</f>
        <v>SM</v>
      </c>
      <c r="E92" s="26" t="str">
        <f>IF(A92="","",VLOOKUP(LEFT(A92,1),Teams,2,FALSE))</f>
        <v>Crawley</v>
      </c>
      <c r="F92" s="10" t="s">
        <v>230</v>
      </c>
      <c r="G92" s="43">
        <v>1</v>
      </c>
      <c r="H92" s="14"/>
      <c r="I92" s="35">
        <f>IF(OR(F92="",TEXT(F92,"[s].0")-VLOOKUP($A88,AWstandards,12,FALSE)&gt;0),0,INT(VLOOKUP($A88,AWstandards,11,FALSE)*(VLOOKUP($A88,AWstandards,12,FALSE)-TEXT(F92,"[s].0"))^VLOOKUP($A88,AWstandards,13,FALSE)+0.5))</f>
        <v>423</v>
      </c>
      <c r="J92" s="32">
        <f>IF(F92="","",IF(F92-VLOOKUP($A88,AWstandards,VLOOKUP(D92,Age,2,FALSE),FALSE)&gt;0,"","aw"))</f>
      </c>
      <c r="K92" s="39">
        <f t="shared" si="12"/>
      </c>
      <c r="L92" s="39">
        <f t="shared" si="12"/>
        <v>1</v>
      </c>
      <c r="M92" s="39">
        <f t="shared" si="12"/>
      </c>
      <c r="N92" s="39">
        <f t="shared" si="12"/>
      </c>
      <c r="O92" s="39">
        <f>10-SUM(K89:N92)</f>
        <v>0</v>
      </c>
      <c r="P92" s="35"/>
      <c r="R92" t="s">
        <v>455</v>
      </c>
    </row>
    <row r="93" spans="1:16" ht="12.75">
      <c r="A93" s="105" t="str">
        <f>Dec!A$19</f>
        <v>2000SC</v>
      </c>
      <c r="B93" s="17"/>
      <c r="C93" s="28" t="str">
        <f>"Men's B "&amp;IF(INT(VALUE(MID(Dec!$B$1,2,1))/2)*2=VALUE(MID(Dec!$B$1,2,1)),"3000m","2000m")&amp;" Steeplechase"</f>
        <v>Men's B 2000m Steeplechase</v>
      </c>
      <c r="D93" s="28"/>
      <c r="E93" s="29"/>
      <c r="F93" s="9"/>
      <c r="G93" s="42"/>
      <c r="H93" s="14"/>
      <c r="I93" s="35"/>
      <c r="J93" s="35"/>
      <c r="K93" s="39"/>
      <c r="L93" s="39"/>
      <c r="M93" s="39"/>
      <c r="N93" s="39"/>
      <c r="O93" s="39"/>
      <c r="P93" s="35" t="s">
        <v>785</v>
      </c>
    </row>
    <row r="94" spans="1:18" ht="12.75">
      <c r="A94" s="4" t="s">
        <v>322</v>
      </c>
      <c r="B94" s="107">
        <v>1</v>
      </c>
      <c r="C94" s="26" t="str">
        <f>IF(A94="","",VLOOKUP($A93,IF(LEN(A94)=2,MSB,MSA),VLOOKUP(LEFT(A94,1),Teams,6,FALSE),FALSE))</f>
        <v>Greg Cole</v>
      </c>
      <c r="D94" s="26" t="str">
        <f>IF(A94="","",VLOOKUP($A93,IF(LEN(A94)=2,MSB,MSA),VLOOKUP(LEFT(A94,1),Teams,7,FALSE),FALSE))</f>
        <v>SM</v>
      </c>
      <c r="E94" s="26" t="str">
        <f>IF(A94="","",VLOOKUP(LEFT(A94,1),Teams,2,FALSE))</f>
        <v>Tonbridge</v>
      </c>
      <c r="F94" s="10" t="s">
        <v>231</v>
      </c>
      <c r="G94" s="43">
        <v>4</v>
      </c>
      <c r="H94" s="14"/>
      <c r="I94" s="35">
        <f>IF(OR(F94="",TEXT(F94,"[s].0")-VLOOKUP($A93,AWstandards,12,FALSE)&gt;0),0,INT(VLOOKUP($A93,AWstandards,11,FALSE)*(VLOOKUP($A93,AWstandards,12,FALSE)-TEXT(F94,"[s].0"))^VLOOKUP($A93,AWstandards,13,FALSE)+0.5))</f>
        <v>552</v>
      </c>
      <c r="J94" s="32">
        <f>IF(F94="","",IF(F94-VLOOKUP($A93,AWstandards,VLOOKUP(D94,Age,2,FALSE),FALSE)&gt;0,"","aw"))</f>
      </c>
      <c r="K94" s="39">
        <f aca="true" t="shared" si="13" ref="K94:N97">IF($A94="","",IF(LEFT($A94,1)=K$8,$G94,""))</f>
      </c>
      <c r="L94" s="39">
        <f t="shared" si="13"/>
      </c>
      <c r="M94" s="39">
        <f t="shared" si="13"/>
      </c>
      <c r="N94" s="39">
        <f t="shared" si="13"/>
        <v>4</v>
      </c>
      <c r="O94" s="39"/>
      <c r="P94" s="35"/>
      <c r="R94" t="s">
        <v>455</v>
      </c>
    </row>
    <row r="95" spans="1:18" ht="12.75">
      <c r="A95" s="4" t="s">
        <v>328</v>
      </c>
      <c r="B95" s="107">
        <v>2</v>
      </c>
      <c r="C95" s="26" t="str">
        <f>IF(A95="","",VLOOKUP($A93,IF(LEN(A95)=2,MSB,MSA),VLOOKUP(LEFT(A95,1),Teams,6,FALSE),FALSE))</f>
        <v>Aiden Turner</v>
      </c>
      <c r="D95" s="26" t="str">
        <f>IF(A95="","",VLOOKUP($A93,IF(LEN(A95)=2,MSB,MSA),VLOOKUP(LEFT(A95,1),Teams,7,FALSE),FALSE))</f>
        <v>U17</v>
      </c>
      <c r="E95" s="26" t="str">
        <f>IF(A95="","",VLOOKUP(LEFT(A95,1),Teams,2,FALSE))</f>
        <v>Team Dorset</v>
      </c>
      <c r="F95" s="10" t="s">
        <v>232</v>
      </c>
      <c r="G95" s="43">
        <v>3</v>
      </c>
      <c r="H95" s="14"/>
      <c r="I95" s="35">
        <f>IF(OR(F95="",TEXT(F95,"[s].0")-VLOOKUP($A93,AWstandards,12,FALSE)&gt;0),0,INT(VLOOKUP($A93,AWstandards,11,FALSE)*(VLOOKUP($A93,AWstandards,12,FALSE)-TEXT(F95,"[s].0"))^VLOOKUP($A93,AWstandards,13,FALSE)+0.5))</f>
        <v>368</v>
      </c>
      <c r="J95" s="32">
        <f>IF(F95="","",IF(F95-VLOOKUP($A93,AWstandards,VLOOKUP(D95,Age,2,FALSE),FALSE)&gt;0,"","aw"))</f>
      </c>
      <c r="K95" s="39">
        <f t="shared" si="13"/>
      </c>
      <c r="L95" s="39">
        <f t="shared" si="13"/>
      </c>
      <c r="M95" s="39">
        <f t="shared" si="13"/>
        <v>3</v>
      </c>
      <c r="N95" s="39">
        <f t="shared" si="13"/>
      </c>
      <c r="O95" s="39"/>
      <c r="P95" s="35"/>
      <c r="R95" t="s">
        <v>455</v>
      </c>
    </row>
    <row r="96" spans="1:18" ht="12.75">
      <c r="A96" s="4" t="s">
        <v>315</v>
      </c>
      <c r="B96" s="107">
        <v>3</v>
      </c>
      <c r="C96" s="26" t="str">
        <f>IF(A96="","",VLOOKUP($A93,IF(LEN(A96)=2,MSB,MSA),VLOOKUP(LEFT(A96,1),Teams,6,FALSE),FALSE))</f>
        <v>Rob Creed </v>
      </c>
      <c r="D96" s="26" t="str">
        <f>IF(A96="","",VLOOKUP($A93,IF(LEN(A96)=2,MSB,MSA),VLOOKUP(LEFT(A96,1),Teams,7,FALSE),FALSE))</f>
        <v>M50</v>
      </c>
      <c r="E96" s="26" t="str">
        <f>IF(A96="","",VLOOKUP(LEFT(A96,1),Teams,2,FALSE))</f>
        <v>Crawley</v>
      </c>
      <c r="F96" s="10" t="s">
        <v>233</v>
      </c>
      <c r="G96" s="43">
        <v>2</v>
      </c>
      <c r="H96" s="14"/>
      <c r="I96" s="35">
        <f>IF(OR(F96="",TEXT(F96,"[s].0")-VLOOKUP($A93,AWstandards,12,FALSE)&gt;0),0,INT(VLOOKUP($A93,AWstandards,11,FALSE)*(VLOOKUP($A93,AWstandards,12,FALSE)-TEXT(F96,"[s].0"))^VLOOKUP($A93,AWstandards,13,FALSE)+0.5))</f>
        <v>364</v>
      </c>
      <c r="J96" s="32">
        <f>IF(F96="","",IF(F96-VLOOKUP($A93,AWstandards,VLOOKUP(D96,Age,2,FALSE),FALSE)&gt;0,"","aw"))</f>
      </c>
      <c r="K96" s="39">
        <f t="shared" si="13"/>
      </c>
      <c r="L96" s="39">
        <f t="shared" si="13"/>
        <v>2</v>
      </c>
      <c r="M96" s="39">
        <f t="shared" si="13"/>
      </c>
      <c r="N96" s="39">
        <f t="shared" si="13"/>
      </c>
      <c r="O96" s="39"/>
      <c r="P96" s="35"/>
      <c r="R96" t="s">
        <v>455</v>
      </c>
    </row>
    <row r="97" spans="1:18" ht="12.75">
      <c r="A97" s="4" t="s">
        <v>313</v>
      </c>
      <c r="B97" s="107">
        <v>4</v>
      </c>
      <c r="C97" s="26" t="str">
        <f>IF(A97="","",VLOOKUP($A93,IF(LEN(A97)=2,MSB,MSA),VLOOKUP(LEFT(A97,1),Teams,6,FALSE),FALSE))</f>
        <v>Mark Alden</v>
      </c>
      <c r="D97" s="26" t="str">
        <f>IF(A97="","",VLOOKUP($A93,IF(LEN(A97)=2,MSB,MSA),VLOOKUP(LEFT(A97,1),Teams,7,FALSE),FALSE))</f>
        <v>SM</v>
      </c>
      <c r="E97" s="26" t="str">
        <f>IF(A97="","",VLOOKUP(LEFT(A97,1),Teams,2,FALSE))</f>
        <v>Epsom &amp; Ewell</v>
      </c>
      <c r="F97" s="10" t="s">
        <v>234</v>
      </c>
      <c r="G97" s="43">
        <v>1</v>
      </c>
      <c r="H97" s="14"/>
      <c r="I97" s="35">
        <f>IF(OR(F97="",TEXT(F97,"[s].0")-VLOOKUP($A93,AWstandards,12,FALSE)&gt;0),0,INT(VLOOKUP($A93,AWstandards,11,FALSE)*(VLOOKUP($A93,AWstandards,12,FALSE)-TEXT(F97,"[s].0"))^VLOOKUP($A93,AWstandards,13,FALSE)+0.5))</f>
        <v>308</v>
      </c>
      <c r="J97" s="32">
        <f>IF(F97="","",IF(F97-VLOOKUP($A93,AWstandards,VLOOKUP(D97,Age,2,FALSE),FALSE)&gt;0,"","aw"))</f>
      </c>
      <c r="K97" s="39">
        <f t="shared" si="13"/>
        <v>1</v>
      </c>
      <c r="L97" s="39">
        <f t="shared" si="13"/>
      </c>
      <c r="M97" s="39">
        <f t="shared" si="13"/>
      </c>
      <c r="N97" s="39">
        <f t="shared" si="13"/>
      </c>
      <c r="O97" s="39">
        <f>10-SUM(K94:N97)</f>
        <v>0</v>
      </c>
      <c r="P97" s="35"/>
      <c r="R97" t="s">
        <v>455</v>
      </c>
    </row>
    <row r="98" spans="1:16" ht="12.75">
      <c r="A98" s="106" t="s">
        <v>899</v>
      </c>
      <c r="B98" s="17"/>
      <c r="C98" s="27" t="s">
        <v>688</v>
      </c>
      <c r="D98" s="28"/>
      <c r="E98" s="29"/>
      <c r="F98" s="8"/>
      <c r="G98" s="42"/>
      <c r="H98" s="14"/>
      <c r="I98" s="35"/>
      <c r="J98" s="35"/>
      <c r="K98" s="39"/>
      <c r="L98" s="39"/>
      <c r="M98" s="39"/>
      <c r="N98" s="39"/>
      <c r="O98" s="39"/>
      <c r="P98" s="35" t="s">
        <v>921</v>
      </c>
    </row>
    <row r="99" spans="1:18" ht="12.75">
      <c r="A99" s="4" t="s">
        <v>320</v>
      </c>
      <c r="B99" s="107">
        <v>1</v>
      </c>
      <c r="C99" s="26" t="str">
        <f>IF(A99="","",VLOOKUP($A98,IF(LEN(A99)=2,MSB,MSA),VLOOKUP(LEFT(A99,1),Teams,6,FALSE),FALSE))</f>
        <v>Jack Roach</v>
      </c>
      <c r="D99" s="26" t="str">
        <f>IF(A99="","",VLOOKUP($A98,IF(LEN(A99)=2,MSB,MSA),VLOOKUP(LEFT(A99,1),Teams,7,FALSE),FALSE))</f>
        <v>U20</v>
      </c>
      <c r="E99" s="26" t="str">
        <f>IF(A99="","",VLOOKUP(LEFT(A99,1),Teams,2,FALSE))</f>
        <v>Team Dorset</v>
      </c>
      <c r="F99" s="10" t="s">
        <v>106</v>
      </c>
      <c r="G99" s="43">
        <v>4</v>
      </c>
      <c r="H99" s="14"/>
      <c r="I99" s="35">
        <f>IF(OR(F99="",F99-VLOOKUP($A98,AWstandards,12,FALSE)&lt;0),0,INT(VLOOKUP($A98,AWstandards,11,FALSE)*(F99-VLOOKUP($A98,AWstandards,12,FALSE))^VLOOKUP($A98,AWstandards,13,FALSE)+0.5))</f>
        <v>900</v>
      </c>
      <c r="J99" s="32" t="str">
        <f>IF(F99="","",IF(F99-VLOOKUP($A98,AWstandards,VLOOKUP(D99,Age,2,FALSE),FALSE)&lt;0,"","aw"))</f>
        <v>aw</v>
      </c>
      <c r="K99" s="39">
        <f aca="true" t="shared" si="14" ref="K99:N114">IF($A99="","",IF(LEFT($A99,1)=K$8,$G99,""))</f>
      </c>
      <c r="L99" s="39">
        <f t="shared" si="14"/>
      </c>
      <c r="M99" s="39">
        <f t="shared" si="14"/>
        <v>4</v>
      </c>
      <c r="N99" s="39">
        <f t="shared" si="14"/>
      </c>
      <c r="O99" s="39"/>
      <c r="P99" s="35"/>
      <c r="R99" t="s">
        <v>806</v>
      </c>
    </row>
    <row r="100" spans="1:18" ht="12.75">
      <c r="A100" s="4" t="s">
        <v>327</v>
      </c>
      <c r="B100" s="107">
        <v>2</v>
      </c>
      <c r="C100" s="26" t="str">
        <f>IF(A100="","",VLOOKUP($A98,IF(LEN(A100)=2,MSB,MSA),VLOOKUP(LEFT(A100,1),Teams,6,FALSE),FALSE))</f>
        <v>Lewis Church</v>
      </c>
      <c r="D100" s="26" t="str">
        <f>IF(A100="","",VLOOKUP($A98,IF(LEN(A100)=2,MSB,MSA),VLOOKUP(LEFT(A100,1),Teams,7,FALSE),FALSE))</f>
        <v>U20</v>
      </c>
      <c r="E100" s="26" t="str">
        <f>IF(A100="","",VLOOKUP(LEFT(A100,1),Teams,2,FALSE))</f>
        <v>Tonbridge</v>
      </c>
      <c r="F100" s="10" t="s">
        <v>107</v>
      </c>
      <c r="G100" s="43">
        <v>3</v>
      </c>
      <c r="H100" s="14"/>
      <c r="I100" s="35">
        <f>IF(OR(F100="",F100-VLOOKUP($A98,AWstandards,12,FALSE)&lt;0),0,INT(VLOOKUP($A98,AWstandards,11,FALSE)*(F100-VLOOKUP($A98,AWstandards,12,FALSE))^VLOOKUP($A98,AWstandards,13,FALSE)+0.5))</f>
        <v>794</v>
      </c>
      <c r="J100" s="32" t="str">
        <f>IF(F100="","",IF(F100-VLOOKUP($A98,AWstandards,VLOOKUP(D100,Age,2,FALSE),FALSE)&lt;0,"","aw"))</f>
        <v>aw</v>
      </c>
      <c r="K100" s="39">
        <f t="shared" si="14"/>
      </c>
      <c r="L100" s="39">
        <f t="shared" si="14"/>
      </c>
      <c r="M100" s="39">
        <f t="shared" si="14"/>
      </c>
      <c r="N100" s="39">
        <f t="shared" si="14"/>
        <v>3</v>
      </c>
      <c r="O100" s="39"/>
      <c r="P100" s="35"/>
      <c r="R100" t="s">
        <v>806</v>
      </c>
    </row>
    <row r="101" spans="1:18" ht="12.75">
      <c r="A101" s="4" t="s">
        <v>315</v>
      </c>
      <c r="B101" s="107">
        <v>3</v>
      </c>
      <c r="C101" s="26" t="str">
        <f>IF(A101="","",VLOOKUP($A98,IF(LEN(A101)=2,MSB,MSA),VLOOKUP(LEFT(A101,1),Teams,6,FALSE),FALSE))</f>
        <v>Richard Reeks</v>
      </c>
      <c r="D101" s="26" t="str">
        <f>IF(A101="","",VLOOKUP($A98,IF(LEN(A101)=2,MSB,MSA),VLOOKUP(LEFT(A101,1),Teams,7,FALSE),FALSE))</f>
        <v>SM</v>
      </c>
      <c r="E101" s="26" t="str">
        <f>IF(A101="","",VLOOKUP(LEFT(A101,1),Teams,2,FALSE))</f>
        <v>Crawley</v>
      </c>
      <c r="F101" s="10" t="s">
        <v>539</v>
      </c>
      <c r="G101" s="43">
        <v>2</v>
      </c>
      <c r="H101" s="14"/>
      <c r="I101" s="35">
        <f>IF(OR(F101="",F101-VLOOKUP($A98,AWstandards,12,FALSE)&lt;0),0,INT(VLOOKUP($A98,AWstandards,11,FALSE)*(F101-VLOOKUP($A98,AWstandards,12,FALSE))^VLOOKUP($A98,AWstandards,13,FALSE)+0.5))</f>
        <v>712</v>
      </c>
      <c r="J101" s="32" t="str">
        <f>IF(F101="","",IF(F101-VLOOKUP($A98,AWstandards,VLOOKUP(D101,Age,2,FALSE),FALSE)&lt;0,"","aw"))</f>
        <v>aw</v>
      </c>
      <c r="K101" s="39">
        <f t="shared" si="14"/>
      </c>
      <c r="L101" s="39">
        <f t="shared" si="14"/>
        <v>2</v>
      </c>
      <c r="M101" s="39">
        <f t="shared" si="14"/>
      </c>
      <c r="N101" s="39">
        <f t="shared" si="14"/>
      </c>
      <c r="O101" s="39"/>
      <c r="P101" s="35"/>
      <c r="R101" t="s">
        <v>806</v>
      </c>
    </row>
    <row r="102" spans="1:18" ht="12.75">
      <c r="A102" s="4" t="s">
        <v>312</v>
      </c>
      <c r="B102" s="107">
        <v>4</v>
      </c>
      <c r="C102" s="26" t="str">
        <f>IF(A102="","",VLOOKUP($A98,IF(LEN(A102)=2,MSB,MSA),VLOOKUP(LEFT(A102,1),Teams,6,FALSE),FALSE))</f>
        <v>Martin Lay</v>
      </c>
      <c r="D102" s="26" t="str">
        <f>IF(A102="","",VLOOKUP($A98,IF(LEN(A102)=2,MSB,MSA),VLOOKUP(LEFT(A102,1),Teams,7,FALSE),FALSE))</f>
        <v>U23</v>
      </c>
      <c r="E102" s="26" t="str">
        <f>IF(A102="","",VLOOKUP(LEFT(A102,1),Teams,2,FALSE))</f>
        <v>Epsom &amp; Ewell</v>
      </c>
      <c r="F102" s="10" t="s">
        <v>542</v>
      </c>
      <c r="G102" s="43">
        <v>1</v>
      </c>
      <c r="H102" s="14"/>
      <c r="I102" s="35">
        <f>IF(OR(F102="",F102-VLOOKUP($A98,AWstandards,12,FALSE)&lt;0),0,INT(VLOOKUP($A98,AWstandards,11,FALSE)*(F102-VLOOKUP($A98,AWstandards,12,FALSE))^VLOOKUP($A98,AWstandards,13,FALSE)+0.5))</f>
        <v>423</v>
      </c>
      <c r="J102" s="32">
        <f>IF(F102="","",IF(F102-VLOOKUP($A98,AWstandards,VLOOKUP(D102,Age,2,FALSE),FALSE)&lt;0,"","aw"))</f>
      </c>
      <c r="K102" s="39">
        <f t="shared" si="14"/>
        <v>1</v>
      </c>
      <c r="L102" s="39">
        <f t="shared" si="14"/>
      </c>
      <c r="M102" s="39">
        <f t="shared" si="14"/>
      </c>
      <c r="N102" s="39">
        <f t="shared" si="14"/>
      </c>
      <c r="O102" s="39">
        <f>10-SUM(K99:N102)</f>
        <v>0</v>
      </c>
      <c r="P102" s="35"/>
      <c r="R102" t="s">
        <v>806</v>
      </c>
    </row>
    <row r="103" spans="1:16" ht="12.75">
      <c r="A103" s="106" t="s">
        <v>899</v>
      </c>
      <c r="B103" s="17"/>
      <c r="C103" s="27" t="s">
        <v>689</v>
      </c>
      <c r="D103" s="28"/>
      <c r="E103" s="29"/>
      <c r="F103" s="8"/>
      <c r="G103" s="42"/>
      <c r="H103" s="14"/>
      <c r="I103" s="35"/>
      <c r="J103" s="35"/>
      <c r="K103" s="39"/>
      <c r="L103" s="39"/>
      <c r="M103" s="39"/>
      <c r="N103" s="39"/>
      <c r="O103" s="39"/>
      <c r="P103" s="35" t="s">
        <v>922</v>
      </c>
    </row>
    <row r="104" spans="1:18" ht="12.75">
      <c r="A104" s="4" t="s">
        <v>322</v>
      </c>
      <c r="B104" s="108">
        <v>1</v>
      </c>
      <c r="C104" s="26" t="str">
        <f>IF(A104="","",VLOOKUP($A103,IF(LEN(A104)=2,MSB,MSA),VLOOKUP(LEFT(A104,1),Teams,6,FALSE),FALSE))</f>
        <v>Harry Kendal</v>
      </c>
      <c r="D104" s="26" t="str">
        <f>IF(A104="","",VLOOKUP($A103,IF(LEN(A104)=2,MSB,MSA),VLOOKUP(LEFT(A104,1),Teams,7,FALSE),FALSE))</f>
        <v>U20</v>
      </c>
      <c r="E104" s="26" t="str">
        <f>IF(A104="","",VLOOKUP(LEFT(A104,1),Teams,2,FALSE))</f>
        <v>Tonbridge</v>
      </c>
      <c r="F104" s="10" t="s">
        <v>108</v>
      </c>
      <c r="G104" s="43">
        <v>4</v>
      </c>
      <c r="H104" s="14"/>
      <c r="I104" s="35">
        <f>IF(OR(F104="",F104-VLOOKUP($A103,AWstandards,12,FALSE)&lt;0),0,INT(VLOOKUP($A103,AWstandards,11,FALSE)*(F104-VLOOKUP($A103,AWstandards,12,FALSE))^VLOOKUP($A103,AWstandards,13,FALSE)+0.5))</f>
        <v>671</v>
      </c>
      <c r="J104" s="32" t="str">
        <f>IF(F104="","",IF(F104-VLOOKUP($A103,AWstandards,VLOOKUP(D104,Age,2,FALSE),FALSE)&lt;0,"","aw"))</f>
        <v>aw</v>
      </c>
      <c r="K104" s="39">
        <f t="shared" si="14"/>
      </c>
      <c r="L104" s="39">
        <f t="shared" si="14"/>
      </c>
      <c r="M104" s="39">
        <f t="shared" si="14"/>
      </c>
      <c r="N104" s="39">
        <f t="shared" si="14"/>
        <v>4</v>
      </c>
      <c r="O104" s="39"/>
      <c r="P104" s="35"/>
      <c r="R104" t="s">
        <v>806</v>
      </c>
    </row>
    <row r="105" spans="1:18" ht="12.75">
      <c r="A105" s="4" t="s">
        <v>321</v>
      </c>
      <c r="B105" s="107" t="s">
        <v>976</v>
      </c>
      <c r="C105" s="26" t="str">
        <f>IF(A105="","",VLOOKUP($A103,IF(LEN(A105)=2,MSB,MSA),VLOOKUP(LEFT(A105,1),Teams,6,FALSE),FALSE))</f>
        <v>Jamie Moore </v>
      </c>
      <c r="D105" s="26" t="str">
        <f>IF(A105="","",VLOOKUP($A103,IF(LEN(A105)=2,MSB,MSA),VLOOKUP(LEFT(A105,1),Teams,7,FALSE),FALSE))</f>
        <v>U23</v>
      </c>
      <c r="E105" s="26" t="str">
        <f>IF(A105="","",VLOOKUP(LEFT(A105,1),Teams,2,FALSE))</f>
        <v>Crawley</v>
      </c>
      <c r="F105" s="10" t="s">
        <v>109</v>
      </c>
      <c r="G105" s="43">
        <v>3</v>
      </c>
      <c r="H105" s="14"/>
      <c r="I105" s="35">
        <f>IF(OR(F105="",F105-VLOOKUP($A103,AWstandards,12,FALSE)&lt;0),0,INT(VLOOKUP($A103,AWstandards,11,FALSE)*(F105-VLOOKUP($A103,AWstandards,12,FALSE))^VLOOKUP($A103,AWstandards,13,FALSE)+0.5))</f>
        <v>630</v>
      </c>
      <c r="J105" s="32" t="str">
        <f>IF(F105="","",IF(F105-VLOOKUP($A103,AWstandards,VLOOKUP(D105,Age,2,FALSE),FALSE)&lt;0,"","aw"))</f>
        <v>aw</v>
      </c>
      <c r="K105" s="39">
        <f t="shared" si="14"/>
      </c>
      <c r="L105" s="39">
        <f t="shared" si="14"/>
        <v>3</v>
      </c>
      <c r="M105" s="39">
        <f t="shared" si="14"/>
      </c>
      <c r="N105" s="39">
        <f t="shared" si="14"/>
      </c>
      <c r="O105" s="39"/>
      <c r="P105" s="35"/>
      <c r="R105" t="s">
        <v>806</v>
      </c>
    </row>
    <row r="106" spans="1:18" ht="12.75">
      <c r="A106" s="4" t="s">
        <v>313</v>
      </c>
      <c r="B106" s="107">
        <v>3</v>
      </c>
      <c r="C106" s="26" t="str">
        <f>IF(A106="","",VLOOKUP($A103,IF(LEN(A106)=2,MSB,MSA),VLOOKUP(LEFT(A106,1),Teams,6,FALSE),FALSE))</f>
        <v>Ian Frankish</v>
      </c>
      <c r="D106" s="26" t="str">
        <f>IF(A106="","",VLOOKUP($A103,IF(LEN(A106)=2,MSB,MSA),VLOOKUP(LEFT(A106,1),Teams,7,FALSE),FALSE))</f>
        <v>SM</v>
      </c>
      <c r="E106" s="26" t="str">
        <f>IF(A106="","",VLOOKUP(LEFT(A106,1),Teams,2,FALSE))</f>
        <v>Epsom &amp; Ewell</v>
      </c>
      <c r="F106" s="10" t="s">
        <v>544</v>
      </c>
      <c r="G106" s="43">
        <v>2</v>
      </c>
      <c r="H106" s="14"/>
      <c r="I106" s="35">
        <f>IF(OR(F106="",F106-VLOOKUP($A103,AWstandards,12,FALSE)&lt;0),0,INT(VLOOKUP($A103,AWstandards,11,FALSE)*(F106-VLOOKUP($A103,AWstandards,12,FALSE))^VLOOKUP($A103,AWstandards,13,FALSE)+0.5))</f>
        <v>382</v>
      </c>
      <c r="J106" s="32">
        <f>IF(F106="","",IF(F106-VLOOKUP($A103,AWstandards,VLOOKUP(D106,Age,2,FALSE),FALSE)&lt;0,"","aw"))</f>
      </c>
      <c r="K106" s="39">
        <f t="shared" si="14"/>
        <v>2</v>
      </c>
      <c r="L106" s="39">
        <f t="shared" si="14"/>
      </c>
      <c r="M106" s="39">
        <f t="shared" si="14"/>
      </c>
      <c r="N106" s="39">
        <f t="shared" si="14"/>
      </c>
      <c r="O106" s="39"/>
      <c r="P106" s="35"/>
      <c r="R106" t="s">
        <v>806</v>
      </c>
    </row>
    <row r="107" spans="1:18" ht="12.75">
      <c r="A107" s="4" t="s">
        <v>328</v>
      </c>
      <c r="B107" s="108">
        <v>4</v>
      </c>
      <c r="C107" s="26" t="str">
        <f>IF(A107="","",VLOOKUP($A103,IF(LEN(A107)=2,MSB,MSA),VLOOKUP(LEFT(A107,1),Teams,6,FALSE),FALSE))</f>
        <v>Piers Copeland</v>
      </c>
      <c r="D107" s="26" t="str">
        <f>IF(A107="","",VLOOKUP($A103,IF(LEN(A107)=2,MSB,MSA),VLOOKUP(LEFT(A107,1),Teams,7,FALSE),FALSE))</f>
        <v>U17</v>
      </c>
      <c r="E107" s="26" t="str">
        <f>IF(A107="","",VLOOKUP(LEFT(A107,1),Teams,2,FALSE))</f>
        <v>Team Dorset</v>
      </c>
      <c r="F107" s="10" t="s">
        <v>543</v>
      </c>
      <c r="G107" s="43">
        <v>1</v>
      </c>
      <c r="H107" s="14"/>
      <c r="I107" s="35">
        <f>IF(OR(F107="",F107-VLOOKUP($A103,AWstandards,12,FALSE)&lt;0),0,INT(VLOOKUP($A103,AWstandards,11,FALSE)*(F107-VLOOKUP($A103,AWstandards,12,FALSE))^VLOOKUP($A103,AWstandards,13,FALSE)+0.5))</f>
        <v>340</v>
      </c>
      <c r="J107" s="32">
        <f>IF(F107="","",IF(F107-VLOOKUP($A103,AWstandards,VLOOKUP(D107,Age,2,FALSE),FALSE)&lt;0,"","aw"))</f>
      </c>
      <c r="K107" s="39">
        <f t="shared" si="14"/>
      </c>
      <c r="L107" s="39">
        <f t="shared" si="14"/>
      </c>
      <c r="M107" s="39">
        <f t="shared" si="14"/>
        <v>1</v>
      </c>
      <c r="N107" s="39">
        <f t="shared" si="14"/>
      </c>
      <c r="O107" s="39">
        <f>10-SUM(K104:N107)</f>
        <v>0</v>
      </c>
      <c r="P107" s="35"/>
      <c r="R107" t="s">
        <v>806</v>
      </c>
    </row>
    <row r="108" spans="1:16" ht="12.75">
      <c r="A108" s="106" t="s">
        <v>905</v>
      </c>
      <c r="B108" s="17"/>
      <c r="C108" s="27" t="s">
        <v>690</v>
      </c>
      <c r="D108" s="28"/>
      <c r="E108" s="29"/>
      <c r="F108" s="8"/>
      <c r="G108" s="42"/>
      <c r="H108" s="14"/>
      <c r="I108" s="35"/>
      <c r="J108" s="35"/>
      <c r="K108" s="39"/>
      <c r="L108" s="39"/>
      <c r="M108" s="39"/>
      <c r="N108" s="39"/>
      <c r="O108" s="39"/>
      <c r="P108" s="35" t="s">
        <v>923</v>
      </c>
    </row>
    <row r="109" spans="1:18" ht="12.75">
      <c r="A109" s="4" t="s">
        <v>315</v>
      </c>
      <c r="B109" s="107">
        <v>1</v>
      </c>
      <c r="C109" s="26" t="str">
        <f>IF(A109="","",VLOOKUP($A108,IF(LEN(A109)=2,MSB,MSA),VLOOKUP(LEFT(A109,1),Teams,6,FALSE),FALSE))</f>
        <v>Leigh Walker </v>
      </c>
      <c r="D109" s="26" t="str">
        <f>IF(A109="","",VLOOKUP($A108,IF(LEN(A109)=2,MSB,MSA),VLOOKUP(LEFT(A109,1),Teams,7,FALSE),FALSE))</f>
        <v>SM</v>
      </c>
      <c r="E109" s="26" t="str">
        <f>IF(A109="","",VLOOKUP(LEFT(A109,1),Teams,2,FALSE))</f>
        <v>Crawley</v>
      </c>
      <c r="F109" s="10" t="s">
        <v>15</v>
      </c>
      <c r="G109" s="43">
        <v>4</v>
      </c>
      <c r="H109" s="14"/>
      <c r="I109" s="35">
        <f>IF(OR(F109="",F109-VLOOKUP($A108,AWstandards,12,FALSE)&lt;0),0,INT(VLOOKUP($A108,AWstandards,11,FALSE)*(F109-VLOOKUP($A108,AWstandards,12,FALSE))^VLOOKUP($A108,AWstandards,13,FALSE)+0.5))</f>
        <v>755</v>
      </c>
      <c r="J109" s="32" t="str">
        <f>IF(F109="","",IF(F109-VLOOKUP($A108,AWstandards,VLOOKUP(D109,Age,2,FALSE),FALSE)&lt;0,"","aw"))</f>
        <v>aw</v>
      </c>
      <c r="K109" s="39">
        <f t="shared" si="14"/>
      </c>
      <c r="L109" s="39">
        <f t="shared" si="14"/>
        <v>4</v>
      </c>
      <c r="M109" s="39">
        <f t="shared" si="14"/>
      </c>
      <c r="N109" s="39">
        <f t="shared" si="14"/>
      </c>
      <c r="O109" s="39"/>
      <c r="P109" s="35"/>
      <c r="R109" t="s">
        <v>809</v>
      </c>
    </row>
    <row r="110" spans="1:18" ht="12.75">
      <c r="A110" s="4" t="s">
        <v>312</v>
      </c>
      <c r="B110" s="107">
        <v>2</v>
      </c>
      <c r="C110" s="26" t="str">
        <f>IF(A110="","",VLOOKUP($A108,IF(LEN(A110)=2,MSB,MSA),VLOOKUP(LEFT(A110,1),Teams,6,FALSE),FALSE))</f>
        <v>John Andrews</v>
      </c>
      <c r="D110" s="26" t="str">
        <f>IF(A110="","",VLOOKUP($A108,IF(LEN(A110)=2,MSB,MSA),VLOOKUP(LEFT(A110,1),Teams,7,FALSE),FALSE))</f>
        <v>M50</v>
      </c>
      <c r="E110" s="26" t="str">
        <f>IF(A110="","",VLOOKUP(LEFT(A110,1),Teams,2,FALSE))</f>
        <v>Epsom &amp; Ewell</v>
      </c>
      <c r="F110" s="10" t="s">
        <v>555</v>
      </c>
      <c r="G110" s="43">
        <v>3</v>
      </c>
      <c r="H110" s="14"/>
      <c r="I110" s="35">
        <f>IF(OR(F110="",F110-VLOOKUP($A108,AWstandards,12,FALSE)&lt;0),0,INT(VLOOKUP($A108,AWstandards,11,FALSE)*(F110-VLOOKUP($A108,AWstandards,12,FALSE))^VLOOKUP($A108,AWstandards,13,FALSE)+0.5))</f>
        <v>643</v>
      </c>
      <c r="J110" s="32" t="str">
        <f>IF(F110="","",IF(F110-VLOOKUP($A108,AWstandards,VLOOKUP(D110,Age,2,FALSE),FALSE)&lt;0,"","aw"))</f>
        <v>aw</v>
      </c>
      <c r="K110" s="39">
        <f t="shared" si="14"/>
        <v>3</v>
      </c>
      <c r="L110" s="39">
        <f t="shared" si="14"/>
      </c>
      <c r="M110" s="39">
        <f t="shared" si="14"/>
      </c>
      <c r="N110" s="39">
        <f t="shared" si="14"/>
      </c>
      <c r="O110" s="39"/>
      <c r="P110" s="35"/>
      <c r="R110" t="s">
        <v>809</v>
      </c>
    </row>
    <row r="111" spans="1:18" ht="12.75">
      <c r="A111" s="4" t="s">
        <v>328</v>
      </c>
      <c r="B111" s="108">
        <v>3</v>
      </c>
      <c r="C111" s="26" t="str">
        <f>IF(A111="","",VLOOKUP($A108,IF(LEN(A111)=2,MSB,MSA),VLOOKUP(LEFT(A111,1),Teams,6,FALSE),FALSE))</f>
        <v>David Pearson</v>
      </c>
      <c r="D111" s="26" t="str">
        <f>IF(A111="","",VLOOKUP($A108,IF(LEN(A111)=2,MSB,MSA),VLOOKUP(LEFT(A111,1),Teams,7,FALSE),FALSE))</f>
        <v>M45</v>
      </c>
      <c r="E111" s="26" t="str">
        <f>IF(A111="","",VLOOKUP(LEFT(A111,1),Teams,2,FALSE))</f>
        <v>Team Dorset</v>
      </c>
      <c r="F111" s="10" t="s">
        <v>555</v>
      </c>
      <c r="G111" s="43">
        <v>2</v>
      </c>
      <c r="H111" s="14"/>
      <c r="I111" s="35">
        <f>IF(OR(F111="",F111-VLOOKUP($A108,AWstandards,12,FALSE)&lt;0),0,INT(VLOOKUP($A108,AWstandards,11,FALSE)*(F111-VLOOKUP($A108,AWstandards,12,FALSE))^VLOOKUP($A108,AWstandards,13,FALSE)+0.5))</f>
        <v>643</v>
      </c>
      <c r="J111" s="32" t="str">
        <f>IF(F111="","",IF(F111-VLOOKUP($A108,AWstandards,VLOOKUP(D111,Age,2,FALSE),FALSE)&lt;0,"","aw"))</f>
        <v>aw</v>
      </c>
      <c r="K111" s="39">
        <f t="shared" si="14"/>
      </c>
      <c r="L111" s="39">
        <f t="shared" si="14"/>
      </c>
      <c r="M111" s="39">
        <f t="shared" si="14"/>
        <v>2</v>
      </c>
      <c r="N111" s="39">
        <f t="shared" si="14"/>
      </c>
      <c r="O111" s="39"/>
      <c r="P111" s="35"/>
      <c r="R111" t="s">
        <v>809</v>
      </c>
    </row>
    <row r="112" spans="1:18" ht="12.75">
      <c r="A112" s="4" t="s">
        <v>327</v>
      </c>
      <c r="B112" s="108">
        <v>4</v>
      </c>
      <c r="C112" s="26" t="str">
        <f>IF(A112="","",VLOOKUP($A108,IF(LEN(A112)=2,MSB,MSA),VLOOKUP(LEFT(A112,1),Teams,6,FALSE),FALSE))</f>
        <v>Lewis Church</v>
      </c>
      <c r="D112" s="26" t="str">
        <f>IF(A112="","",VLOOKUP($A108,IF(LEN(A112)=2,MSB,MSA),VLOOKUP(LEFT(A112,1),Teams,7,FALSE),FALSE))</f>
        <v>U20</v>
      </c>
      <c r="E112" s="26" t="str">
        <f>IF(A112="","",VLOOKUP(LEFT(A112,1),Teams,2,FALSE))</f>
        <v>Tonbridge</v>
      </c>
      <c r="F112" s="10" t="s">
        <v>556</v>
      </c>
      <c r="G112" s="43">
        <v>1</v>
      </c>
      <c r="H112" s="14"/>
      <c r="I112" s="35">
        <f>IF(OR(F112="",F112-VLOOKUP($A108,AWstandards,12,FALSE)&lt;0),0,INT(VLOOKUP($A108,AWstandards,11,FALSE)*(F112-VLOOKUP($A108,AWstandards,12,FALSE))^VLOOKUP($A108,AWstandards,13,FALSE)+0.5))</f>
        <v>598</v>
      </c>
      <c r="J112" s="32" t="str">
        <f>IF(F112="","",IF(F112-VLOOKUP($A108,AWstandards,VLOOKUP(D112,Age,2,FALSE),FALSE)&lt;0,"","aw"))</f>
        <v>aw</v>
      </c>
      <c r="K112" s="39">
        <f t="shared" si="14"/>
      </c>
      <c r="L112" s="39">
        <f t="shared" si="14"/>
      </c>
      <c r="M112" s="39">
        <f t="shared" si="14"/>
      </c>
      <c r="N112" s="39">
        <f t="shared" si="14"/>
        <v>1</v>
      </c>
      <c r="O112" s="39">
        <f>10-SUM(K109:N112)</f>
        <v>0</v>
      </c>
      <c r="P112" s="35"/>
      <c r="R112" t="s">
        <v>809</v>
      </c>
    </row>
    <row r="113" spans="1:16" ht="12.75">
      <c r="A113" s="106" t="s">
        <v>905</v>
      </c>
      <c r="B113" s="17"/>
      <c r="C113" s="27" t="s">
        <v>691</v>
      </c>
      <c r="D113" s="28"/>
      <c r="E113" s="29"/>
      <c r="F113" s="8"/>
      <c r="G113" s="42"/>
      <c r="H113" s="14"/>
      <c r="I113" s="35"/>
      <c r="J113" s="35"/>
      <c r="K113" s="39"/>
      <c r="L113" s="39"/>
      <c r="M113" s="39"/>
      <c r="N113" s="39"/>
      <c r="O113" s="39"/>
      <c r="P113" s="35" t="s">
        <v>924</v>
      </c>
    </row>
    <row r="114" spans="1:18" ht="12.75">
      <c r="A114" s="4" t="s">
        <v>320</v>
      </c>
      <c r="B114" s="107">
        <v>1</v>
      </c>
      <c r="C114" s="26" t="str">
        <f>IF(A114="","",VLOOKUP($A113,IF(LEN(A114)=2,MSB,MSA),VLOOKUP(LEFT(A114,1),Teams,6,FALSE),FALSE))</f>
        <v>Jack Snook</v>
      </c>
      <c r="D114" s="26" t="str">
        <f>IF(A114="","",VLOOKUP($A113,IF(LEN(A114)=2,MSB,MSA),VLOOKUP(LEFT(A114,1),Teams,7,FALSE),FALSE))</f>
        <v>U20</v>
      </c>
      <c r="E114" s="26" t="str">
        <f>IF(A114="","",VLOOKUP(LEFT(A114,1),Teams,2,FALSE))</f>
        <v>Team Dorset</v>
      </c>
      <c r="F114" s="10" t="s">
        <v>556</v>
      </c>
      <c r="G114" s="43">
        <v>4</v>
      </c>
      <c r="H114" s="14"/>
      <c r="I114" s="35">
        <f>IF(OR(F114="",F114-VLOOKUP($A113,AWstandards,12,FALSE)&lt;0),0,INT(VLOOKUP($A113,AWstandards,11,FALSE)*(F114-VLOOKUP($A113,AWstandards,12,FALSE))^VLOOKUP($A113,AWstandards,13,FALSE)+0.5))</f>
        <v>598</v>
      </c>
      <c r="J114" s="32" t="str">
        <f>IF(F114="","",IF(F114-VLOOKUP($A113,AWstandards,VLOOKUP(D114,Age,2,FALSE),FALSE)&lt;0,"","aw"))</f>
        <v>aw</v>
      </c>
      <c r="K114" s="39">
        <f t="shared" si="14"/>
      </c>
      <c r="L114" s="39">
        <f t="shared" si="14"/>
      </c>
      <c r="M114" s="39">
        <f t="shared" si="14"/>
        <v>4</v>
      </c>
      <c r="N114" s="39">
        <f t="shared" si="14"/>
      </c>
      <c r="O114" s="39"/>
      <c r="P114" s="35"/>
      <c r="R114" t="s">
        <v>809</v>
      </c>
    </row>
    <row r="115" spans="1:18" ht="12.75">
      <c r="A115" s="4" t="s">
        <v>321</v>
      </c>
      <c r="B115" s="107">
        <v>2</v>
      </c>
      <c r="C115" s="26" t="str">
        <f>IF(A115="","",VLOOKUP($A113,IF(LEN(A115)=2,MSB,MSA),VLOOKUP(LEFT(A115,1),Teams,6,FALSE),FALSE))</f>
        <v>Jamie Moore </v>
      </c>
      <c r="D115" s="26" t="str">
        <f>IF(A115="","",VLOOKUP($A113,IF(LEN(A115)=2,MSB,MSA),VLOOKUP(LEFT(A115,1),Teams,7,FALSE),FALSE))</f>
        <v>U23</v>
      </c>
      <c r="E115" s="26" t="str">
        <f>IF(A115="","",VLOOKUP(LEFT(A115,1),Teams,2,FALSE))</f>
        <v>Crawley</v>
      </c>
      <c r="F115" s="10" t="s">
        <v>16</v>
      </c>
      <c r="G115" s="43">
        <v>3</v>
      </c>
      <c r="H115" s="14"/>
      <c r="I115" s="35">
        <f>IF(OR(F115="",F115-VLOOKUP($A113,AWstandards,12,FALSE)&lt;0),0,INT(VLOOKUP($A113,AWstandards,11,FALSE)*(F115-VLOOKUP($A113,AWstandards,12,FALSE))^VLOOKUP($A113,AWstandards,13,FALSE)+0.5))</f>
        <v>413</v>
      </c>
      <c r="J115" s="32">
        <f>IF(F115="","",IF(F115-VLOOKUP($A113,AWstandards,VLOOKUP(D115,Age,2,FALSE),FALSE)&lt;0,"","aw"))</f>
      </c>
      <c r="K115" s="39">
        <f aca="true" t="shared" si="15" ref="K115:N117">IF($A115="","",IF(LEFT($A115,1)=K$8,$G115,""))</f>
      </c>
      <c r="L115" s="39">
        <f t="shared" si="15"/>
        <v>3</v>
      </c>
      <c r="M115" s="39">
        <f t="shared" si="15"/>
      </c>
      <c r="N115" s="39">
        <f t="shared" si="15"/>
      </c>
      <c r="O115" s="39"/>
      <c r="P115" s="35"/>
      <c r="R115" t="s">
        <v>809</v>
      </c>
    </row>
    <row r="116" spans="1:18" ht="12.75">
      <c r="A116" s="4" t="s">
        <v>322</v>
      </c>
      <c r="B116" s="107">
        <v>3</v>
      </c>
      <c r="C116" s="26" t="str">
        <f>IF(A116="","",VLOOKUP($A113,IF(LEN(A116)=2,MSB,MSA),VLOOKUP(LEFT(A116,1),Teams,6,FALSE),FALSE))</f>
        <v>Harry Kendal</v>
      </c>
      <c r="D116" s="26" t="str">
        <f>IF(A116="","",VLOOKUP($A113,IF(LEN(A116)=2,MSB,MSA),VLOOKUP(LEFT(A116,1),Teams,7,FALSE),FALSE))</f>
        <v>U20</v>
      </c>
      <c r="E116" s="26" t="str">
        <f>IF(A116="","",VLOOKUP(LEFT(A116,1),Teams,2,FALSE))</f>
        <v>Tonbridge</v>
      </c>
      <c r="F116" s="10" t="s">
        <v>16</v>
      </c>
      <c r="G116" s="43">
        <v>2</v>
      </c>
      <c r="H116" s="14"/>
      <c r="I116" s="35">
        <f>IF(OR(F116="",F116-VLOOKUP($A113,AWstandards,12,FALSE)&lt;0),0,INT(VLOOKUP($A113,AWstandards,11,FALSE)*(F116-VLOOKUP($A113,AWstandards,12,FALSE))^VLOOKUP($A113,AWstandards,13,FALSE)+0.5))</f>
        <v>413</v>
      </c>
      <c r="J116" s="32">
        <f>IF(F116="","",IF(F116-VLOOKUP($A113,AWstandards,VLOOKUP(D116,Age,2,FALSE),FALSE)&lt;0,"","aw"))</f>
      </c>
      <c r="K116" s="39">
        <f t="shared" si="15"/>
      </c>
      <c r="L116" s="39">
        <f t="shared" si="15"/>
      </c>
      <c r="M116" s="39">
        <f t="shared" si="15"/>
      </c>
      <c r="N116" s="39">
        <f t="shared" si="15"/>
        <v>2</v>
      </c>
      <c r="O116" s="39"/>
      <c r="P116" s="35"/>
      <c r="R116" t="s">
        <v>809</v>
      </c>
    </row>
    <row r="117" spans="1:18" ht="12.75">
      <c r="A117" s="4" t="s">
        <v>313</v>
      </c>
      <c r="B117" s="107">
        <v>4</v>
      </c>
      <c r="C117" s="26" t="str">
        <f>IF(A117="","",VLOOKUP($A113,IF(LEN(A117)=2,MSB,MSA),VLOOKUP(LEFT(A117,1),Teams,6,FALSE),FALSE))</f>
        <v>Brian Harlick</v>
      </c>
      <c r="D117" s="26" t="s">
        <v>61</v>
      </c>
      <c r="E117" s="26" t="str">
        <f>IF(A117="","",VLOOKUP(LEFT(A117,1),Teams,2,FALSE))</f>
        <v>Epsom &amp; Ewell</v>
      </c>
      <c r="F117" s="10" t="s">
        <v>538</v>
      </c>
      <c r="G117" s="43">
        <v>1</v>
      </c>
      <c r="H117" s="14"/>
      <c r="I117" s="35">
        <f>IF(OR(F117="",F117-VLOOKUP($A113,AWstandards,12,FALSE)&lt;0),0,INT(VLOOKUP($A113,AWstandards,11,FALSE)*(F117-VLOOKUP($A113,AWstandards,12,FALSE))^VLOOKUP($A113,AWstandards,13,FALSE)+0.5))</f>
        <v>269</v>
      </c>
      <c r="J117" s="32"/>
      <c r="K117" s="39">
        <f t="shared" si="15"/>
        <v>1</v>
      </c>
      <c r="L117" s="39">
        <f t="shared" si="15"/>
      </c>
      <c r="M117" s="39">
        <f t="shared" si="15"/>
      </c>
      <c r="N117" s="39">
        <f t="shared" si="15"/>
      </c>
      <c r="O117" s="39">
        <f>10-SUM(K114:N117)</f>
        <v>0</v>
      </c>
      <c r="P117" s="35"/>
      <c r="R117" t="s">
        <v>809</v>
      </c>
    </row>
    <row r="118" spans="1:16" ht="12.75">
      <c r="A118" s="106" t="s">
        <v>900</v>
      </c>
      <c r="B118" s="17"/>
      <c r="C118" s="27" t="s">
        <v>692</v>
      </c>
      <c r="D118" s="28"/>
      <c r="E118" s="29"/>
      <c r="F118" s="8"/>
      <c r="G118" s="42"/>
      <c r="H118" s="14" t="s">
        <v>967</v>
      </c>
      <c r="I118" s="35"/>
      <c r="J118" s="35"/>
      <c r="K118" s="39"/>
      <c r="L118" s="39"/>
      <c r="M118" s="39"/>
      <c r="N118" s="39"/>
      <c r="O118" s="39"/>
      <c r="P118" s="35" t="s">
        <v>925</v>
      </c>
    </row>
    <row r="119" spans="1:18" ht="12.75">
      <c r="A119" s="4" t="s">
        <v>320</v>
      </c>
      <c r="B119" s="107">
        <v>1</v>
      </c>
      <c r="C119" s="26" t="str">
        <f>IF(A119="","",VLOOKUP($A118,IF(LEN(A119)=2,MSB,MSA),VLOOKUP(LEFT(A119,1),Teams,6,FALSE),FALSE))</f>
        <v>Jack Roach</v>
      </c>
      <c r="D119" s="26" t="str">
        <f>IF(A119="","",VLOOKUP($A118,IF(LEN(A119)=2,MSB,MSA),VLOOKUP(LEFT(A119,1),Teams,7,FALSE),FALSE))</f>
        <v>U20</v>
      </c>
      <c r="E119" s="26" t="str">
        <f>IF(A119="","",VLOOKUP(LEFT(A119,1),Teams,2,FALSE))</f>
        <v>Team Dorset</v>
      </c>
      <c r="F119" s="10" t="s">
        <v>152</v>
      </c>
      <c r="G119" s="43">
        <v>4</v>
      </c>
      <c r="H119" s="15"/>
      <c r="I119" s="35">
        <f>IF(OR(F119="",F119-VLOOKUP($A118,AWstandards,12,FALSE)&lt;0),0,INT(VLOOKUP($A118,AWstandards,11,FALSE)*(F119-VLOOKUP($A118,AWstandards,12,FALSE))^VLOOKUP($A118,AWstandards,13,FALSE)+0.5))</f>
        <v>873</v>
      </c>
      <c r="J119" s="32" t="str">
        <f>IF(F119="","",IF(F119-VLOOKUP($A118,AWstandards,VLOOKUP(D119,Age,2,FALSE),FALSE)&lt;0,"","aw"))</f>
        <v>aw</v>
      </c>
      <c r="K119" s="39">
        <f aca="true" t="shared" si="16" ref="K119:N122">IF($A119="","",IF(LEFT($A119,1)=K$8,$G119,""))</f>
      </c>
      <c r="L119" s="39">
        <f t="shared" si="16"/>
      </c>
      <c r="M119" s="39">
        <f t="shared" si="16"/>
        <v>4</v>
      </c>
      <c r="N119" s="39">
        <f t="shared" si="16"/>
      </c>
      <c r="O119" s="39"/>
      <c r="P119" s="35"/>
      <c r="R119" t="s">
        <v>808</v>
      </c>
    </row>
    <row r="120" spans="1:18" ht="12.75">
      <c r="A120" s="4" t="s">
        <v>327</v>
      </c>
      <c r="B120" s="107">
        <v>2</v>
      </c>
      <c r="C120" s="26" t="str">
        <f>IF(A120="","",VLOOKUP($A118,IF(LEN(A120)=2,MSB,MSA),VLOOKUP(LEFT(A120,1),Teams,6,FALSE),FALSE))</f>
        <v>Lewis Church</v>
      </c>
      <c r="D120" s="26" t="str">
        <f>IF(A120="","",VLOOKUP($A118,IF(LEN(A120)=2,MSB,MSA),VLOOKUP(LEFT(A120,1),Teams,7,FALSE),FALSE))</f>
        <v>U20</v>
      </c>
      <c r="E120" s="26" t="str">
        <f>IF(A120="","",VLOOKUP(LEFT(A120,1),Teams,2,FALSE))</f>
        <v>Tonbridge</v>
      </c>
      <c r="F120" s="10" t="s">
        <v>153</v>
      </c>
      <c r="G120" s="43">
        <v>3</v>
      </c>
      <c r="H120" s="15"/>
      <c r="I120" s="35">
        <f>IF(OR(F120="",F120-VLOOKUP($A118,AWstandards,12,FALSE)&lt;0),0,INT(VLOOKUP($A118,AWstandards,11,FALSE)*(F120-VLOOKUP($A118,AWstandards,12,FALSE))^VLOOKUP($A118,AWstandards,13,FALSE)+0.5))</f>
        <v>732</v>
      </c>
      <c r="J120" s="32" t="str">
        <f>IF(F120="","",IF(F120-VLOOKUP($A118,AWstandards,VLOOKUP(D120,Age,2,FALSE),FALSE)&lt;0,"","aw"))</f>
        <v>aw</v>
      </c>
      <c r="K120" s="39">
        <f t="shared" si="16"/>
      </c>
      <c r="L120" s="39">
        <f t="shared" si="16"/>
      </c>
      <c r="M120" s="39">
        <f t="shared" si="16"/>
      </c>
      <c r="N120" s="39">
        <f t="shared" si="16"/>
        <v>3</v>
      </c>
      <c r="O120" s="39"/>
      <c r="P120" s="35"/>
      <c r="R120" t="s">
        <v>808</v>
      </c>
    </row>
    <row r="121" spans="1:18" ht="12.75">
      <c r="A121" s="4" t="s">
        <v>315</v>
      </c>
      <c r="B121" s="107">
        <v>3</v>
      </c>
      <c r="C121" s="26" t="str">
        <f>IF(A121="","",VLOOKUP($A118,IF(LEN(A121)=2,MSB,MSA),VLOOKUP(LEFT(A121,1),Teams,6,FALSE),FALSE))</f>
        <v>Jamie Moore </v>
      </c>
      <c r="D121" s="26" t="str">
        <f>IF(A121="","",VLOOKUP($A118,IF(LEN(A121)=2,MSB,MSA),VLOOKUP(LEFT(A121,1),Teams,7,FALSE),FALSE))</f>
        <v>U23</v>
      </c>
      <c r="E121" s="26" t="str">
        <f>IF(A121="","",VLOOKUP(LEFT(A121,1),Teams,2,FALSE))</f>
        <v>Crawley</v>
      </c>
      <c r="F121" s="10" t="s">
        <v>154</v>
      </c>
      <c r="G121" s="43">
        <v>2</v>
      </c>
      <c r="H121" s="15"/>
      <c r="I121" s="35">
        <f>IF(OR(F121="",F121-VLOOKUP($A118,AWstandards,12,FALSE)&lt;0),0,INT(VLOOKUP($A118,AWstandards,11,FALSE)*(F121-VLOOKUP($A118,AWstandards,12,FALSE))^VLOOKUP($A118,AWstandards,13,FALSE)+0.5))</f>
        <v>689</v>
      </c>
      <c r="J121" s="32" t="str">
        <f>IF(F121="","",IF(F121-VLOOKUP($A118,AWstandards,VLOOKUP(D121,Age,2,FALSE),FALSE)&lt;0,"","aw"))</f>
        <v>aw</v>
      </c>
      <c r="K121" s="39">
        <f t="shared" si="16"/>
      </c>
      <c r="L121" s="39">
        <f t="shared" si="16"/>
        <v>2</v>
      </c>
      <c r="M121" s="39">
        <f t="shared" si="16"/>
      </c>
      <c r="N121" s="39">
        <f t="shared" si="16"/>
      </c>
      <c r="O121" s="39"/>
      <c r="P121" s="35"/>
      <c r="R121" t="s">
        <v>808</v>
      </c>
    </row>
    <row r="122" spans="1:18" ht="12.75">
      <c r="A122" s="4" t="s">
        <v>312</v>
      </c>
      <c r="B122" s="107">
        <v>4</v>
      </c>
      <c r="C122" s="26" t="str">
        <f>IF(A122="","",VLOOKUP($A118,IF(LEN(A122)=2,MSB,MSA),VLOOKUP(LEFT(A122,1),Teams,6,FALSE),FALSE))</f>
        <v>Martin Lay</v>
      </c>
      <c r="D122" s="26" t="str">
        <f>IF(A122="","",VLOOKUP($A118,IF(LEN(A122)=2,MSB,MSA),VLOOKUP(LEFT(A122,1),Teams,7,FALSE),FALSE))</f>
        <v>U23</v>
      </c>
      <c r="E122" s="26" t="str">
        <f>IF(A122="","",VLOOKUP(LEFT(A122,1),Teams,2,FALSE))</f>
        <v>Epsom &amp; Ewell</v>
      </c>
      <c r="F122" s="10" t="s">
        <v>1042</v>
      </c>
      <c r="G122" s="43">
        <v>1</v>
      </c>
      <c r="H122" s="15"/>
      <c r="I122" s="35">
        <f>IF(OR(F122="",F122-VLOOKUP($A118,AWstandards,12,FALSE)&lt;0),0,INT(VLOOKUP($A118,AWstandards,11,FALSE)*(F122-VLOOKUP($A118,AWstandards,12,FALSE))^VLOOKUP($A118,AWstandards,13,FALSE)+0.5))</f>
        <v>551</v>
      </c>
      <c r="J122" s="32">
        <f>IF(F122="","",IF(F122-VLOOKUP($A118,AWstandards,VLOOKUP(D122,Age,2,FALSE),FALSE)&lt;0,"","aw"))</f>
      </c>
      <c r="K122" s="39">
        <f t="shared" si="16"/>
        <v>1</v>
      </c>
      <c r="L122" s="39">
        <f t="shared" si="16"/>
      </c>
      <c r="M122" s="39">
        <f t="shared" si="16"/>
      </c>
      <c r="N122" s="39">
        <f t="shared" si="16"/>
      </c>
      <c r="O122" s="39">
        <f>10-SUM(K119:N122)</f>
        <v>0</v>
      </c>
      <c r="P122" s="35"/>
      <c r="R122" t="s">
        <v>808</v>
      </c>
    </row>
    <row r="123" spans="1:16" ht="12.75">
      <c r="A123" s="106" t="s">
        <v>900</v>
      </c>
      <c r="B123" s="17"/>
      <c r="C123" s="27" t="s">
        <v>693</v>
      </c>
      <c r="D123" s="28"/>
      <c r="E123" s="29"/>
      <c r="F123" s="8"/>
      <c r="G123" s="42"/>
      <c r="H123" s="14" t="s">
        <v>967</v>
      </c>
      <c r="I123" s="35"/>
      <c r="J123" s="35"/>
      <c r="K123" s="39"/>
      <c r="L123" s="39"/>
      <c r="M123" s="39"/>
      <c r="N123" s="39"/>
      <c r="O123" s="39"/>
      <c r="P123" s="35" t="s">
        <v>926</v>
      </c>
    </row>
    <row r="124" spans="1:18" ht="12.75">
      <c r="A124" s="4" t="s">
        <v>322</v>
      </c>
      <c r="B124" s="107">
        <v>1</v>
      </c>
      <c r="C124" s="26" t="str">
        <f>IF(A124="","",VLOOKUP($A123,IF(LEN(A124)=2,MSB,MSA),VLOOKUP(LEFT(A124,1),Teams,6,FALSE),FALSE))</f>
        <v>Harry Kendal</v>
      </c>
      <c r="D124" s="26" t="str">
        <f>IF(A124="","",VLOOKUP($A123,IF(LEN(A124)=2,MSB,MSA),VLOOKUP(LEFT(A124,1),Teams,7,FALSE),FALSE))</f>
        <v>U20</v>
      </c>
      <c r="E124" s="26" t="str">
        <f>IF(A124="","",VLOOKUP(LEFT(A124,1),Teams,2,FALSE))</f>
        <v>Tonbridge</v>
      </c>
      <c r="F124" s="10" t="s">
        <v>155</v>
      </c>
      <c r="G124" s="43">
        <v>4</v>
      </c>
      <c r="H124" s="15"/>
      <c r="I124" s="35">
        <f>IF(OR(F124="",F124-VLOOKUP($A123,AWstandards,12,FALSE)&lt;0),0,INT(VLOOKUP($A123,AWstandards,11,FALSE)*(F124-VLOOKUP($A123,AWstandards,12,FALSE))^VLOOKUP($A123,AWstandards,13,FALSE)+0.5))</f>
        <v>601</v>
      </c>
      <c r="J124" s="32" t="str">
        <f>IF(F124="","",IF(F124-VLOOKUP($A123,AWstandards,VLOOKUP(D124,Age,2,FALSE),FALSE)&lt;0,"","aw"))</f>
        <v>aw</v>
      </c>
      <c r="K124" s="39">
        <f aca="true" t="shared" si="17" ref="K124:N127">IF($A124="","",IF(LEFT($A124,1)=K$8,$G124,""))</f>
      </c>
      <c r="L124" s="39">
        <f t="shared" si="17"/>
      </c>
      <c r="M124" s="39">
        <f t="shared" si="17"/>
      </c>
      <c r="N124" s="39">
        <f t="shared" si="17"/>
        <v>4</v>
      </c>
      <c r="O124" s="39"/>
      <c r="P124" s="35"/>
      <c r="R124" t="s">
        <v>808</v>
      </c>
    </row>
    <row r="125" spans="1:18" ht="12.75">
      <c r="A125" s="4" t="s">
        <v>321</v>
      </c>
      <c r="B125" s="107">
        <v>2</v>
      </c>
      <c r="C125" s="26" t="str">
        <f>IF(A125="","",VLOOKUP($A123,IF(LEN(A125)=2,MSB,MSA),VLOOKUP(LEFT(A125,1),Teams,6,FALSE),FALSE))</f>
        <v>Sam Cunningham</v>
      </c>
      <c r="D125" s="26" t="str">
        <f>IF(A125="","",VLOOKUP($A123,IF(LEN(A125)=2,MSB,MSA),VLOOKUP(LEFT(A125,1),Teams,7,FALSE),FALSE))</f>
        <v>U20</v>
      </c>
      <c r="E125" s="26" t="str">
        <f>IF(A125="","",VLOOKUP(LEFT(A125,1),Teams,2,FALSE))</f>
        <v>Crawley</v>
      </c>
      <c r="F125" s="10" t="s">
        <v>156</v>
      </c>
      <c r="G125" s="43">
        <v>3</v>
      </c>
      <c r="H125" s="15"/>
      <c r="I125" s="35">
        <f>IF(OR(F125="",F125-VLOOKUP($A123,AWstandards,12,FALSE)&lt;0),0,INT(VLOOKUP($A123,AWstandards,11,FALSE)*(F125-VLOOKUP($A123,AWstandards,12,FALSE))^VLOOKUP($A123,AWstandards,13,FALSE)+0.5))</f>
        <v>450</v>
      </c>
      <c r="J125" s="32">
        <f>IF(F125="","",IF(F125-VLOOKUP($A123,AWstandards,VLOOKUP(D125,Age,2,FALSE),FALSE)&lt;0,"","aw"))</f>
      </c>
      <c r="K125" s="39">
        <f t="shared" si="17"/>
      </c>
      <c r="L125" s="39">
        <f t="shared" si="17"/>
        <v>3</v>
      </c>
      <c r="M125" s="39">
        <f t="shared" si="17"/>
      </c>
      <c r="N125" s="39">
        <f t="shared" si="17"/>
      </c>
      <c r="O125" s="39"/>
      <c r="P125" s="35"/>
      <c r="R125" t="s">
        <v>808</v>
      </c>
    </row>
    <row r="126" spans="1:18" ht="12.75">
      <c r="A126" s="4" t="s">
        <v>328</v>
      </c>
      <c r="B126" s="107">
        <v>3</v>
      </c>
      <c r="C126" s="26" t="str">
        <f>IF(A126="","",VLOOKUP($A123,IF(LEN(A126)=2,MSB,MSA),VLOOKUP(LEFT(A126,1),Teams,6,FALSE),FALSE))</f>
        <v>Liam Winton</v>
      </c>
      <c r="D126" s="26" t="str">
        <f>IF(A126="","",VLOOKUP($A123,IF(LEN(A126)=2,MSB,MSA),VLOOKUP(LEFT(A126,1),Teams,7,FALSE),FALSE))</f>
        <v>U17</v>
      </c>
      <c r="E126" s="26" t="str">
        <f>IF(A126="","",VLOOKUP(LEFT(A126,1),Teams,2,FALSE))</f>
        <v>Team Dorset</v>
      </c>
      <c r="F126" s="10" t="s">
        <v>157</v>
      </c>
      <c r="G126" s="43">
        <v>2</v>
      </c>
      <c r="H126" s="15"/>
      <c r="I126" s="35">
        <f>IF(OR(F126="",F126-VLOOKUP($A123,AWstandards,12,FALSE)&lt;0),0,INT(VLOOKUP($A123,AWstandards,11,FALSE)*(F126-VLOOKUP($A123,AWstandards,12,FALSE))^VLOOKUP($A123,AWstandards,13,FALSE)+0.5))</f>
        <v>446</v>
      </c>
      <c r="J126" s="32">
        <f>IF(F126="","",IF(F126-VLOOKUP($A123,AWstandards,VLOOKUP(D126,Age,2,FALSE),FALSE)&lt;0,"","aw"))</f>
      </c>
      <c r="K126" s="39">
        <f t="shared" si="17"/>
      </c>
      <c r="L126" s="39">
        <f t="shared" si="17"/>
      </c>
      <c r="M126" s="39">
        <f t="shared" si="17"/>
        <v>2</v>
      </c>
      <c r="N126" s="39">
        <f t="shared" si="17"/>
      </c>
      <c r="O126" s="39"/>
      <c r="P126" s="35"/>
      <c r="R126" t="s">
        <v>808</v>
      </c>
    </row>
    <row r="127" spans="1:18" ht="12.75">
      <c r="A127" s="4" t="s">
        <v>313</v>
      </c>
      <c r="B127" s="107">
        <v>4</v>
      </c>
      <c r="C127" s="26" t="str">
        <f>IF(A127="","",VLOOKUP($A123,IF(LEN(A127)=2,MSB,MSA),VLOOKUP(LEFT(A127,1),Teams,6,FALSE),FALSE))</f>
        <v>John Andrews</v>
      </c>
      <c r="D127" s="26" t="str">
        <f>IF(A127="","",VLOOKUP($A123,IF(LEN(A127)=2,MSB,MSA),VLOOKUP(LEFT(A127,1),Teams,7,FALSE),FALSE))</f>
        <v>M50</v>
      </c>
      <c r="E127" s="26" t="str">
        <f>IF(A127="","",VLOOKUP(LEFT(A127,1),Teams,2,FALSE))</f>
        <v>Epsom &amp; Ewell</v>
      </c>
      <c r="F127" s="10" t="s">
        <v>158</v>
      </c>
      <c r="G127" s="43">
        <v>1</v>
      </c>
      <c r="H127" s="15"/>
      <c r="I127" s="35">
        <f>IF(OR(F127="",F127-VLOOKUP($A123,AWstandards,12,FALSE)&lt;0),0,INT(VLOOKUP($A123,AWstandards,11,FALSE)*(F127-VLOOKUP($A123,AWstandards,12,FALSE))^VLOOKUP($A123,AWstandards,13,FALSE)+0.5))</f>
        <v>366</v>
      </c>
      <c r="J127" s="32">
        <f>IF(F127="","",IF(F127-VLOOKUP($A123,AWstandards,VLOOKUP(D127,Age,2,FALSE),FALSE)&lt;0,"","aw"))</f>
      </c>
      <c r="K127" s="39">
        <f t="shared" si="17"/>
        <v>1</v>
      </c>
      <c r="L127" s="39">
        <f t="shared" si="17"/>
      </c>
      <c r="M127" s="39">
        <f t="shared" si="17"/>
      </c>
      <c r="N127" s="39">
        <f t="shared" si="17"/>
      </c>
      <c r="O127" s="39">
        <f>10-SUM(K124:N127)</f>
        <v>0</v>
      </c>
      <c r="P127" s="35"/>
      <c r="R127" t="s">
        <v>808</v>
      </c>
    </row>
    <row r="128" spans="1:16" ht="12.75">
      <c r="A128" s="106" t="s">
        <v>901</v>
      </c>
      <c r="B128" s="17"/>
      <c r="C128" s="27" t="s">
        <v>694</v>
      </c>
      <c r="D128" s="28"/>
      <c r="E128" s="29"/>
      <c r="F128" s="8"/>
      <c r="G128" s="42"/>
      <c r="H128" s="14" t="s">
        <v>967</v>
      </c>
      <c r="I128" s="35"/>
      <c r="J128" s="35"/>
      <c r="K128" s="39"/>
      <c r="L128" s="39"/>
      <c r="M128" s="39"/>
      <c r="N128" s="39"/>
      <c r="O128" s="39"/>
      <c r="P128" s="35" t="s">
        <v>927</v>
      </c>
    </row>
    <row r="129" spans="1:18" ht="12.75">
      <c r="A129" s="4" t="s">
        <v>315</v>
      </c>
      <c r="B129" s="107">
        <v>1</v>
      </c>
      <c r="C129" s="26" t="str">
        <f>IF(A129="","",VLOOKUP($A128,IF(LEN(A129)=2,MSB,MSA),VLOOKUP(LEFT(A129,1),Teams,6,FALSE),FALSE))</f>
        <v>Jamie Moore </v>
      </c>
      <c r="D129" s="26" t="str">
        <f>IF(A129="","",VLOOKUP($A128,IF(LEN(A129)=2,MSB,MSA),VLOOKUP(LEFT(A129,1),Teams,7,FALSE),FALSE))</f>
        <v>U23</v>
      </c>
      <c r="E129" s="26" t="str">
        <f>IF(A129="","",VLOOKUP(LEFT(A129,1),Teams,2,FALSE))</f>
        <v>Crawley</v>
      </c>
      <c r="F129" s="10" t="s">
        <v>17</v>
      </c>
      <c r="G129" s="43">
        <v>4</v>
      </c>
      <c r="H129" s="15"/>
      <c r="I129" s="35">
        <f>IF(OR(F129="",F129-VLOOKUP($A128,AWstandards,12,FALSE)&lt;0),0,INT(VLOOKUP($A128,AWstandards,11,FALSE)*(F129-VLOOKUP($A128,AWstandards,12,FALSE))^VLOOKUP($A128,AWstandards,13,FALSE)+0.5))</f>
        <v>662</v>
      </c>
      <c r="J129" s="32" t="str">
        <f>IF(F129="","",IF(F129-VLOOKUP($A128,AWstandards,VLOOKUP(D129,Age,2,FALSE),FALSE)&lt;0,"","aw"))</f>
        <v>aw</v>
      </c>
      <c r="K129" s="39">
        <f aca="true" t="shared" si="18" ref="K129:N132">IF($A129="","",IF(LEFT($A129,1)=K$8,$G129,""))</f>
      </c>
      <c r="L129" s="39">
        <f t="shared" si="18"/>
        <v>4</v>
      </c>
      <c r="M129" s="39">
        <f t="shared" si="18"/>
      </c>
      <c r="N129" s="39">
        <f t="shared" si="18"/>
      </c>
      <c r="O129" s="39"/>
      <c r="P129" s="35"/>
      <c r="R129" t="s">
        <v>811</v>
      </c>
    </row>
    <row r="130" spans="1:18" ht="12.75">
      <c r="A130" s="4" t="s">
        <v>327</v>
      </c>
      <c r="B130" s="107">
        <v>2</v>
      </c>
      <c r="C130" s="26" t="str">
        <f>IF(A130="","",VLOOKUP($A128,IF(LEN(A130)=2,MSB,MSA),VLOOKUP(LEFT(A130,1),Teams,6,FALSE),FALSE))</f>
        <v>Neil Woodfine</v>
      </c>
      <c r="D130" s="26" t="str">
        <f>IF(A130="","",VLOOKUP($A128,IF(LEN(A130)=2,MSB,MSA),VLOOKUP(LEFT(A130,1),Teams,7,FALSE),FALSE))</f>
        <v>SM</v>
      </c>
      <c r="E130" s="26" t="str">
        <f>IF(A130="","",VLOOKUP(LEFT(A130,1),Teams,2,FALSE))</f>
        <v>Tonbridge</v>
      </c>
      <c r="F130" s="10" t="s">
        <v>18</v>
      </c>
      <c r="G130" s="43">
        <v>3</v>
      </c>
      <c r="H130" s="15"/>
      <c r="I130" s="35">
        <f>IF(OR(F130="",F130-VLOOKUP($A128,AWstandards,12,FALSE)&lt;0),0,INT(VLOOKUP($A128,AWstandards,11,FALSE)*(F130-VLOOKUP($A128,AWstandards,12,FALSE))^VLOOKUP($A128,AWstandards,13,FALSE)+0.5))</f>
        <v>623</v>
      </c>
      <c r="J130" s="32">
        <f>IF(F130="","",IF(F130-VLOOKUP($A128,AWstandards,VLOOKUP(D130,Age,2,FALSE),FALSE)&lt;0,"","aw"))</f>
      </c>
      <c r="K130" s="39">
        <f t="shared" si="18"/>
      </c>
      <c r="L130" s="39">
        <f t="shared" si="18"/>
      </c>
      <c r="M130" s="39">
        <f t="shared" si="18"/>
      </c>
      <c r="N130" s="39">
        <f t="shared" si="18"/>
        <v>3</v>
      </c>
      <c r="O130" s="39"/>
      <c r="P130" s="35"/>
      <c r="R130" t="s">
        <v>811</v>
      </c>
    </row>
    <row r="131" spans="1:18" ht="12.75">
      <c r="A131" s="4" t="s">
        <v>312</v>
      </c>
      <c r="B131" s="107">
        <v>3</v>
      </c>
      <c r="C131" s="26" t="str">
        <f>IF(A131="","",VLOOKUP($A128,IF(LEN(A131)=2,MSB,MSA),VLOOKUP(LEFT(A131,1),Teams,6,FALSE),FALSE))</f>
        <v>Martin Lay</v>
      </c>
      <c r="D131" s="26" t="str">
        <f>IF(A131="","",VLOOKUP($A128,IF(LEN(A131)=2,MSB,MSA),VLOOKUP(LEFT(A131,1),Teams,7,FALSE),FALSE))</f>
        <v>U23</v>
      </c>
      <c r="E131" s="26" t="str">
        <f>IF(A131="","",VLOOKUP(LEFT(A131,1),Teams,2,FALSE))</f>
        <v>Epsom &amp; Ewell</v>
      </c>
      <c r="F131" s="10" t="s">
        <v>19</v>
      </c>
      <c r="G131" s="43">
        <v>2</v>
      </c>
      <c r="H131" s="15"/>
      <c r="I131" s="35">
        <f>IF(OR(F131="",F131-VLOOKUP($A128,AWstandards,12,FALSE)&lt;0),0,INT(VLOOKUP($A128,AWstandards,11,FALSE)*(F131-VLOOKUP($A128,AWstandards,12,FALSE))^VLOOKUP($A128,AWstandards,13,FALSE)+0.5))</f>
        <v>576</v>
      </c>
      <c r="J131" s="32">
        <f>IF(F131="","",IF(F131-VLOOKUP($A128,AWstandards,VLOOKUP(D131,Age,2,FALSE),FALSE)&lt;0,"","aw"))</f>
      </c>
      <c r="K131" s="39">
        <f t="shared" si="18"/>
        <v>2</v>
      </c>
      <c r="L131" s="39">
        <f t="shared" si="18"/>
      </c>
      <c r="M131" s="39">
        <f t="shared" si="18"/>
      </c>
      <c r="N131" s="39">
        <f t="shared" si="18"/>
      </c>
      <c r="O131" s="39"/>
      <c r="P131" s="35"/>
      <c r="R131" t="s">
        <v>811</v>
      </c>
    </row>
    <row r="132" spans="1:18" ht="12.75">
      <c r="A132" s="4" t="s">
        <v>328</v>
      </c>
      <c r="B132" s="107">
        <v>4</v>
      </c>
      <c r="C132" s="26" t="str">
        <f>IF(A132="","",VLOOKUP($A128,IF(LEN(A132)=2,MSB,MSA),VLOOKUP(LEFT(A132,1),Teams,6,FALSE),FALSE))</f>
        <v>Liam Winton</v>
      </c>
      <c r="D132" s="26" t="str">
        <f>IF(A132="","",VLOOKUP($A128,IF(LEN(A132)=2,MSB,MSA),VLOOKUP(LEFT(A132,1),Teams,7,FALSE),FALSE))</f>
        <v>U17</v>
      </c>
      <c r="E132" s="26" t="str">
        <f>IF(A132="","",VLOOKUP(LEFT(A132,1),Teams,2,FALSE))</f>
        <v>Team Dorset</v>
      </c>
      <c r="F132" s="10" t="s">
        <v>20</v>
      </c>
      <c r="G132" s="43">
        <v>1</v>
      </c>
      <c r="H132" s="15"/>
      <c r="I132" s="35">
        <f>IF(OR(F132="",F132-VLOOKUP($A128,AWstandards,12,FALSE)&lt;0),0,INT(VLOOKUP($A128,AWstandards,11,FALSE)*(F132-VLOOKUP($A128,AWstandards,12,FALSE))^VLOOKUP($A128,AWstandards,13,FALSE)+0.5))</f>
        <v>570</v>
      </c>
      <c r="J132" s="32" t="str">
        <f>IF(F132="","",IF(F132-VLOOKUP($A128,AWstandards,VLOOKUP(D132,Age,2,FALSE),FALSE)&lt;0,"","aw"))</f>
        <v>aw</v>
      </c>
      <c r="K132" s="39">
        <f t="shared" si="18"/>
      </c>
      <c r="L132" s="39">
        <f t="shared" si="18"/>
      </c>
      <c r="M132" s="39">
        <f t="shared" si="18"/>
        <v>1</v>
      </c>
      <c r="N132" s="39">
        <f t="shared" si="18"/>
      </c>
      <c r="O132" s="39">
        <f>10-SUM(K129:N132)</f>
        <v>0</v>
      </c>
      <c r="P132" s="35"/>
      <c r="R132" t="s">
        <v>811</v>
      </c>
    </row>
    <row r="133" spans="1:16" ht="12.75">
      <c r="A133" s="106" t="s">
        <v>901</v>
      </c>
      <c r="B133" s="17"/>
      <c r="C133" s="27" t="s">
        <v>695</v>
      </c>
      <c r="D133" s="28"/>
      <c r="E133" s="29"/>
      <c r="F133" s="8"/>
      <c r="G133" s="42"/>
      <c r="H133" s="14" t="s">
        <v>967</v>
      </c>
      <c r="I133" s="35"/>
      <c r="J133" s="35"/>
      <c r="K133" s="39"/>
      <c r="L133" s="39"/>
      <c r="M133" s="39"/>
      <c r="N133" s="39"/>
      <c r="O133" s="39"/>
      <c r="P133" s="35" t="s">
        <v>928</v>
      </c>
    </row>
    <row r="134" spans="1:18" ht="12.75">
      <c r="A134" s="4" t="s">
        <v>321</v>
      </c>
      <c r="B134" s="107">
        <v>1</v>
      </c>
      <c r="C134" s="26" t="str">
        <f>IF(A134="","",VLOOKUP($A133,IF(LEN(A134)=2,MSB,MSA),VLOOKUP(LEFT(A134,1),Teams,6,FALSE),FALSE))</f>
        <v>Sam Cunningham</v>
      </c>
      <c r="D134" s="26" t="str">
        <f>IF(A134="","",VLOOKUP($A133,IF(LEN(A134)=2,MSB,MSA),VLOOKUP(LEFT(A134,1),Teams,7,FALSE),FALSE))</f>
        <v>U20</v>
      </c>
      <c r="E134" s="26" t="str">
        <f>IF(A134="","",VLOOKUP(LEFT(A134,1),Teams,2,FALSE))</f>
        <v>Crawley</v>
      </c>
      <c r="F134" s="10" t="s">
        <v>21</v>
      </c>
      <c r="G134" s="43">
        <v>4</v>
      </c>
      <c r="H134" s="15"/>
      <c r="I134" s="35">
        <f>IF(OR(F134="",F134-VLOOKUP($A133,AWstandards,12,FALSE)&lt;0),0,INT(VLOOKUP($A133,AWstandards,11,FALSE)*(F134-VLOOKUP($A133,AWstandards,12,FALSE))^VLOOKUP($A133,AWstandards,13,FALSE)+0.5))</f>
        <v>629</v>
      </c>
      <c r="J134" s="32" t="str">
        <f>IF(F134="","",IF(F134-VLOOKUP($A133,AWstandards,VLOOKUP(D134,Age,2,FALSE),FALSE)&lt;0,"","aw"))</f>
        <v>aw</v>
      </c>
      <c r="K134" s="39">
        <f aca="true" t="shared" si="19" ref="K134:N137">IF($A134="","",IF(LEFT($A134,1)=K$8,$G134,""))</f>
      </c>
      <c r="L134" s="39">
        <f t="shared" si="19"/>
        <v>4</v>
      </c>
      <c r="M134" s="39">
        <f t="shared" si="19"/>
      </c>
      <c r="N134" s="39">
        <f t="shared" si="19"/>
      </c>
      <c r="O134" s="39"/>
      <c r="P134" s="35"/>
      <c r="R134" t="s">
        <v>811</v>
      </c>
    </row>
    <row r="135" spans="1:18" ht="12.75">
      <c r="A135" s="4" t="s">
        <v>320</v>
      </c>
      <c r="B135" s="107">
        <v>2</v>
      </c>
      <c r="C135" s="26" t="str">
        <f>IF(A135="","",VLOOKUP($A133,IF(LEN(A135)=2,MSB,MSA),VLOOKUP(LEFT(A135,1),Teams,6,FALSE),FALSE))</f>
        <v>David Pearson</v>
      </c>
      <c r="D135" s="26" t="str">
        <f>IF(A135="","",VLOOKUP($A133,IF(LEN(A135)=2,MSB,MSA),VLOOKUP(LEFT(A135,1),Teams,7,FALSE),FALSE))</f>
        <v>M45</v>
      </c>
      <c r="E135" s="26" t="str">
        <f>IF(A135="","",VLOOKUP(LEFT(A135,1),Teams,2,FALSE))</f>
        <v>Team Dorset</v>
      </c>
      <c r="F135" s="10" t="s">
        <v>22</v>
      </c>
      <c r="G135" s="43">
        <v>3</v>
      </c>
      <c r="H135" s="15"/>
      <c r="I135" s="35">
        <f>IF(OR(F135="",F135-VLOOKUP($A133,AWstandards,12,FALSE)&lt;0),0,INT(VLOOKUP($A133,AWstandards,11,FALSE)*(F135-VLOOKUP($A133,AWstandards,12,FALSE))^VLOOKUP($A133,AWstandards,13,FALSE)+0.5))</f>
        <v>497</v>
      </c>
      <c r="J135" s="32" t="str">
        <f>IF(F135="","",IF(F135-VLOOKUP($A133,AWstandards,VLOOKUP(D135,Age,2,FALSE),FALSE)&lt;0,"","aw"))</f>
        <v>aw</v>
      </c>
      <c r="K135" s="39">
        <f t="shared" si="19"/>
      </c>
      <c r="L135" s="39">
        <f t="shared" si="19"/>
      </c>
      <c r="M135" s="39">
        <f t="shared" si="19"/>
        <v>3</v>
      </c>
      <c r="N135" s="39">
        <f t="shared" si="19"/>
      </c>
      <c r="O135" s="39"/>
      <c r="P135" s="35"/>
      <c r="R135" t="s">
        <v>811</v>
      </c>
    </row>
    <row r="136" spans="1:18" ht="12.75">
      <c r="A136" s="4" t="s">
        <v>313</v>
      </c>
      <c r="B136" s="107">
        <v>3</v>
      </c>
      <c r="C136" s="26" t="str">
        <f>IF(A136="","",VLOOKUP($A133,IF(LEN(A136)=2,MSB,MSA),VLOOKUP(LEFT(A136,1),Teams,6,FALSE),FALSE))</f>
        <v>John Andrews</v>
      </c>
      <c r="D136" s="26" t="str">
        <f>IF(A136="","",VLOOKUP($A133,IF(LEN(A136)=2,MSB,MSA),VLOOKUP(LEFT(A136,1),Teams,7,FALSE),FALSE))</f>
        <v>M50</v>
      </c>
      <c r="E136" s="26" t="str">
        <f>IF(A136="","",VLOOKUP(LEFT(A136,1),Teams,2,FALSE))</f>
        <v>Epsom &amp; Ewell</v>
      </c>
      <c r="F136" s="10" t="s">
        <v>23</v>
      </c>
      <c r="G136" s="43">
        <v>2</v>
      </c>
      <c r="H136" s="15"/>
      <c r="I136" s="35">
        <f>IF(OR(F136="",F136-VLOOKUP($A133,AWstandards,12,FALSE)&lt;0),0,INT(VLOOKUP($A133,AWstandards,11,FALSE)*(F136-VLOOKUP($A133,AWstandards,12,FALSE))^VLOOKUP($A133,AWstandards,13,FALSE)+0.5))</f>
        <v>403</v>
      </c>
      <c r="J136" s="32">
        <f>IF(F136="","",IF(F136-VLOOKUP($A133,AWstandards,VLOOKUP(D136,Age,2,FALSE),FALSE)&lt;0,"","aw"))</f>
      </c>
      <c r="K136" s="39">
        <f t="shared" si="19"/>
        <v>2</v>
      </c>
      <c r="L136" s="39">
        <f t="shared" si="19"/>
      </c>
      <c r="M136" s="39">
        <f t="shared" si="19"/>
      </c>
      <c r="N136" s="39">
        <f t="shared" si="19"/>
      </c>
      <c r="O136" s="39"/>
      <c r="P136" s="35"/>
      <c r="R136" t="s">
        <v>811</v>
      </c>
    </row>
    <row r="137" spans="1:18" ht="12.75">
      <c r="A137" s="4"/>
      <c r="B137" s="107">
        <v>4</v>
      </c>
      <c r="C137" s="26">
        <f>IF(A137="","",VLOOKUP($A133,IF(LEN(A137)=2,MSB,MSA),VLOOKUP(LEFT(A137,1),Teams,6,FALSE),FALSE))</f>
      </c>
      <c r="D137" s="26">
        <f>IF(A137="","",VLOOKUP($A133,IF(LEN(A137)=2,MSB,MSA),VLOOKUP(LEFT(A137,1),Teams,7,FALSE),FALSE))</f>
      </c>
      <c r="E137" s="26">
        <f>IF(A137="","",VLOOKUP(LEFT(A137,1),Teams,2,FALSE))</f>
      </c>
      <c r="F137" s="10"/>
      <c r="G137" s="43">
        <v>1</v>
      </c>
      <c r="H137" s="15"/>
      <c r="I137" s="35">
        <f>IF(OR(F137="",F137-VLOOKUP($A133,AWstandards,12,FALSE)&lt;0),0,INT(VLOOKUP($A133,AWstandards,11,FALSE)*(F137-VLOOKUP($A133,AWstandards,12,FALSE))^VLOOKUP($A133,AWstandards,13,FALSE)+0.5))</f>
        <v>0</v>
      </c>
      <c r="J137" s="32">
        <f>IF(F137="","",IF(F137-VLOOKUP($A133,AWstandards,VLOOKUP(D137,Age,2,FALSE),FALSE)&lt;0,"","aw"))</f>
      </c>
      <c r="K137" s="39">
        <f t="shared" si="19"/>
      </c>
      <c r="L137" s="39">
        <f t="shared" si="19"/>
      </c>
      <c r="M137" s="39">
        <f t="shared" si="19"/>
      </c>
      <c r="N137" s="39">
        <f t="shared" si="19"/>
      </c>
      <c r="O137" s="39">
        <f>10-SUM(K134:N137)</f>
        <v>1</v>
      </c>
      <c r="P137" s="35"/>
      <c r="R137" t="s">
        <v>811</v>
      </c>
    </row>
    <row r="138" spans="1:16" ht="12.75">
      <c r="A138" s="106" t="s">
        <v>988</v>
      </c>
      <c r="B138" s="17"/>
      <c r="C138" s="27" t="s">
        <v>696</v>
      </c>
      <c r="D138" s="28"/>
      <c r="E138" s="29"/>
      <c r="F138" s="8"/>
      <c r="G138" s="42"/>
      <c r="H138" s="14"/>
      <c r="I138" s="35"/>
      <c r="J138" s="35"/>
      <c r="K138" s="39"/>
      <c r="L138" s="39"/>
      <c r="M138" s="39"/>
      <c r="N138" s="39"/>
      <c r="O138" s="39"/>
      <c r="P138" s="35" t="s">
        <v>929</v>
      </c>
    </row>
    <row r="139" spans="1:18" ht="12.75">
      <c r="A139" s="4" t="s">
        <v>315</v>
      </c>
      <c r="B139" s="107">
        <v>1</v>
      </c>
      <c r="C139" s="26" t="str">
        <f>IF(A139="","",VLOOKUP($A138,IF(LEN(A139)=2,MSB,MSA),VLOOKUP(LEFT(A139,1),Teams,6,FALSE),FALSE))</f>
        <v>Richard Reeks</v>
      </c>
      <c r="D139" s="26" t="str">
        <f>IF(A139="","",VLOOKUP($A138,IF(LEN(A139)=2,MSB,MSA),VLOOKUP(LEFT(A139,1),Teams,7,FALSE),FALSE))</f>
        <v>SM</v>
      </c>
      <c r="E139" s="26" t="str">
        <f>IF(A139="","",VLOOKUP(LEFT(A139,1),Teams,2,FALSE))</f>
        <v>Crawley</v>
      </c>
      <c r="F139" s="10" t="s">
        <v>329</v>
      </c>
      <c r="G139" s="43">
        <v>4</v>
      </c>
      <c r="H139" s="14"/>
      <c r="I139" s="35">
        <f>IF(OR(F139="",F139-VLOOKUP($A138,AWstandards,12,FALSE)&lt;0),0,INT(VLOOKUP($A138,AWstandards,11,FALSE)*(F139-VLOOKUP($A138,AWstandards,12,FALSE))^VLOOKUP($A138,AWstandards,13,FALSE)+0.5))</f>
        <v>748</v>
      </c>
      <c r="J139" s="32" t="str">
        <f>IF(F139="","",IF(F139-VLOOKUP($A138,AWstandards,VLOOKUP(D139,Age,2,FALSE),FALSE)&lt;0,"","aw"))</f>
        <v>aw</v>
      </c>
      <c r="K139" s="39">
        <f aca="true" t="shared" si="20" ref="K139:N142">IF($A139="","",IF(LEFT($A139,1)=K$8,$G139,""))</f>
      </c>
      <c r="L139" s="39">
        <f t="shared" si="20"/>
        <v>4</v>
      </c>
      <c r="M139" s="39">
        <f t="shared" si="20"/>
      </c>
      <c r="N139" s="39">
        <f t="shared" si="20"/>
      </c>
      <c r="O139" s="39"/>
      <c r="P139" s="35"/>
      <c r="R139" t="s">
        <v>810</v>
      </c>
    </row>
    <row r="140" spans="1:18" ht="12.75">
      <c r="A140" s="4" t="s">
        <v>312</v>
      </c>
      <c r="B140" s="107">
        <v>2</v>
      </c>
      <c r="C140" s="26" t="str">
        <f>IF(A140="","",VLOOKUP($A138,IF(LEN(A140)=2,MSB,MSA),VLOOKUP(LEFT(A140,1),Teams,6,FALSE),FALSE))</f>
        <v>Ian Frankish</v>
      </c>
      <c r="D140" s="26" t="str">
        <f>IF(A140="","",VLOOKUP($A138,IF(LEN(A140)=2,MSB,MSA),VLOOKUP(LEFT(A140,1),Teams,7,FALSE),FALSE))</f>
        <v>SM</v>
      </c>
      <c r="E140" s="26" t="str">
        <f>IF(A140="","",VLOOKUP(LEFT(A140,1),Teams,2,FALSE))</f>
        <v>Epsom &amp; Ewell</v>
      </c>
      <c r="F140" s="10" t="s">
        <v>330</v>
      </c>
      <c r="G140" s="43">
        <v>3</v>
      </c>
      <c r="H140" s="14"/>
      <c r="I140" s="35">
        <f>IF(OR(F140="",F140-VLOOKUP($A138,AWstandards,12,FALSE)&lt;0),0,INT(VLOOKUP($A138,AWstandards,11,FALSE)*(F140-VLOOKUP($A138,AWstandards,12,FALSE))^VLOOKUP($A138,AWstandards,13,FALSE)+0.5))</f>
        <v>727</v>
      </c>
      <c r="J140" s="32" t="str">
        <f>IF(F140="","",IF(F140-VLOOKUP($A138,AWstandards,VLOOKUP(D140,Age,2,FALSE),FALSE)&lt;0,"","aw"))</f>
        <v>aw</v>
      </c>
      <c r="K140" s="39">
        <f t="shared" si="20"/>
        <v>3</v>
      </c>
      <c r="L140" s="39">
        <f t="shared" si="20"/>
      </c>
      <c r="M140" s="39">
        <f t="shared" si="20"/>
      </c>
      <c r="N140" s="39">
        <f t="shared" si="20"/>
      </c>
      <c r="O140" s="39"/>
      <c r="P140" s="35"/>
      <c r="R140" t="s">
        <v>810</v>
      </c>
    </row>
    <row r="141" spans="1:18" ht="12.75">
      <c r="A141" s="4" t="s">
        <v>322</v>
      </c>
      <c r="B141" s="107">
        <v>3</v>
      </c>
      <c r="C141" s="26" t="str">
        <f>IF(A141="","",VLOOKUP($A138,IF(LEN(A141)=2,MSB,MSA),VLOOKUP(LEFT(A141,1),Teams,6,FALSE),FALSE))</f>
        <v>Alex Hookway</v>
      </c>
      <c r="D141" s="26" t="str">
        <f>IF(A141="","",VLOOKUP($A138,IF(LEN(A141)=2,MSB,MSA),VLOOKUP(LEFT(A141,1),Teams,7,FALSE),FALSE))</f>
        <v>SM</v>
      </c>
      <c r="E141" s="26" t="str">
        <f>IF(A141="","",VLOOKUP(LEFT(A141,1),Teams,2,FALSE))</f>
        <v>Tonbridge</v>
      </c>
      <c r="F141" s="10" t="s">
        <v>331</v>
      </c>
      <c r="G141" s="43">
        <v>2</v>
      </c>
      <c r="H141" s="14"/>
      <c r="I141" s="35">
        <f>IF(OR(F141="",F141-VLOOKUP($A138,AWstandards,12,FALSE)&lt;0),0,INT(VLOOKUP($A138,AWstandards,11,FALSE)*(F141-VLOOKUP($A138,AWstandards,12,FALSE))^VLOOKUP($A138,AWstandards,13,FALSE)+0.5))</f>
        <v>544</v>
      </c>
      <c r="J141" s="32">
        <f>IF(F141="","",IF(F141-VLOOKUP($A138,AWstandards,VLOOKUP(D141,Age,2,FALSE),FALSE)&lt;0,"","aw"))</f>
      </c>
      <c r="K141" s="39">
        <f t="shared" si="20"/>
      </c>
      <c r="L141" s="39">
        <f t="shared" si="20"/>
      </c>
      <c r="M141" s="39">
        <f t="shared" si="20"/>
      </c>
      <c r="N141" s="39">
        <f t="shared" si="20"/>
        <v>2</v>
      </c>
      <c r="O141" s="39"/>
      <c r="P141" s="35"/>
      <c r="R141" t="s">
        <v>810</v>
      </c>
    </row>
    <row r="142" spans="1:18" ht="12.75">
      <c r="A142" s="4" t="s">
        <v>320</v>
      </c>
      <c r="B142" s="107">
        <v>4</v>
      </c>
      <c r="C142" s="26" t="str">
        <f>IF(A142="","",VLOOKUP($A138,IF(LEN(A142)=2,MSB,MSA),VLOOKUP(LEFT(A142,1),Teams,6,FALSE),FALSE))</f>
        <v>Jack Snook</v>
      </c>
      <c r="D142" s="26" t="str">
        <f>IF(A142="","",VLOOKUP($A138,IF(LEN(A142)=2,MSB,MSA),VLOOKUP(LEFT(A142,1),Teams,7,FALSE),FALSE))</f>
        <v>U20</v>
      </c>
      <c r="E142" s="26" t="str">
        <f>IF(A142="","",VLOOKUP(LEFT(A142,1),Teams,2,FALSE))</f>
        <v>Team Dorset</v>
      </c>
      <c r="F142" s="10" t="s">
        <v>332</v>
      </c>
      <c r="G142" s="43">
        <v>1</v>
      </c>
      <c r="H142" s="14"/>
      <c r="I142" s="35">
        <f>IF(OR(F142="",F142-VLOOKUP($A138,AWstandards,12,FALSE)&lt;0),0,INT(VLOOKUP($A138,AWstandards,11,FALSE)*(F142-VLOOKUP($A138,AWstandards,12,FALSE))^VLOOKUP($A138,AWstandards,13,FALSE)+0.5))</f>
        <v>432</v>
      </c>
      <c r="J142" s="32">
        <f>IF(F142="","",IF(F142-VLOOKUP($A138,AWstandards,VLOOKUP(D142,Age,2,FALSE),FALSE)&lt;0,"","aw"))</f>
      </c>
      <c r="K142" s="39">
        <f t="shared" si="20"/>
      </c>
      <c r="L142" s="39">
        <f t="shared" si="20"/>
      </c>
      <c r="M142" s="39">
        <f t="shared" si="20"/>
        <v>1</v>
      </c>
      <c r="N142" s="39">
        <f t="shared" si="20"/>
      </c>
      <c r="O142" s="39">
        <f>10-SUM(K139:N142)</f>
        <v>0</v>
      </c>
      <c r="P142" s="35"/>
      <c r="R142" t="s">
        <v>810</v>
      </c>
    </row>
    <row r="143" spans="1:16" ht="12.75">
      <c r="A143" s="106" t="s">
        <v>988</v>
      </c>
      <c r="B143" s="17"/>
      <c r="C143" s="27" t="s">
        <v>697</v>
      </c>
      <c r="D143" s="28"/>
      <c r="E143" s="29"/>
      <c r="F143" s="8"/>
      <c r="G143" s="42"/>
      <c r="H143" s="14"/>
      <c r="I143" s="35"/>
      <c r="J143" s="35"/>
      <c r="K143" s="39"/>
      <c r="L143" s="39"/>
      <c r="M143" s="39"/>
      <c r="N143" s="39"/>
      <c r="O143" s="39"/>
      <c r="P143" s="35" t="s">
        <v>930</v>
      </c>
    </row>
    <row r="144" spans="1:18" ht="12.75">
      <c r="A144" s="4" t="s">
        <v>321</v>
      </c>
      <c r="B144" s="107">
        <v>1</v>
      </c>
      <c r="C144" s="26" t="str">
        <f>IF(A144="","",VLOOKUP($A143,IF(LEN(A144)=2,MSB,MSA),VLOOKUP(LEFT(A144,1),Teams,6,FALSE),FALSE))</f>
        <v>Sam Cunningham</v>
      </c>
      <c r="D144" s="26" t="str">
        <f>IF(A144="","",VLOOKUP($A143,IF(LEN(A144)=2,MSB,MSA),VLOOKUP(LEFT(A144,1),Teams,7,FALSE),FALSE))</f>
        <v>U20</v>
      </c>
      <c r="E144" s="26" t="str">
        <f>IF(A144="","",VLOOKUP(LEFT(A144,1),Teams,2,FALSE))</f>
        <v>Crawley</v>
      </c>
      <c r="F144" s="10" t="s">
        <v>333</v>
      </c>
      <c r="G144" s="43">
        <v>4</v>
      </c>
      <c r="H144" s="14"/>
      <c r="I144" s="35">
        <f>IF(OR(F144="",F144-VLOOKUP($A143,AWstandards,12,FALSE)&lt;0),0,INT(VLOOKUP($A143,AWstandards,11,FALSE)*(F144-VLOOKUP($A143,AWstandards,12,FALSE))^VLOOKUP($A143,AWstandards,13,FALSE)+0.5))</f>
        <v>571</v>
      </c>
      <c r="J144" s="32" t="str">
        <f>IF(F144="","",IF(F144-VLOOKUP($A143,AWstandards,VLOOKUP(D144,Age,2,FALSE),FALSE)&lt;0,"","aw"))</f>
        <v>aw</v>
      </c>
      <c r="K144" s="39">
        <f aca="true" t="shared" si="21" ref="K144:N147">IF($A144="","",IF(LEFT($A144,1)=K$8,$G144,""))</f>
      </c>
      <c r="L144" s="39">
        <f t="shared" si="21"/>
        <v>4</v>
      </c>
      <c r="M144" s="39">
        <f t="shared" si="21"/>
      </c>
      <c r="N144" s="39">
        <f t="shared" si="21"/>
      </c>
      <c r="O144" s="39"/>
      <c r="P144" s="35"/>
      <c r="R144" t="s">
        <v>810</v>
      </c>
    </row>
    <row r="145" spans="1:18" ht="12.75">
      <c r="A145" s="4" t="s">
        <v>327</v>
      </c>
      <c r="B145" s="107">
        <v>2</v>
      </c>
      <c r="C145" s="26" t="str">
        <f>IF(A145="","",VLOOKUP($A143,IF(LEN(A145)=2,MSB,MSA),VLOOKUP(LEFT(A145,1),Teams,6,FALSE),FALSE))</f>
        <v>Martyn Ormerod</v>
      </c>
      <c r="D145" s="26" t="str">
        <f>IF(A145="","",VLOOKUP($A143,IF(LEN(A145)=2,MSB,MSA),VLOOKUP(LEFT(A145,1),Teams,7,FALSE),FALSE))</f>
        <v>SM</v>
      </c>
      <c r="E145" s="26" t="str">
        <f>IF(A145="","",VLOOKUP(LEFT(A145,1),Teams,2,FALSE))</f>
        <v>Tonbridge</v>
      </c>
      <c r="F145" s="10" t="s">
        <v>334</v>
      </c>
      <c r="G145" s="43">
        <v>3</v>
      </c>
      <c r="H145" s="14"/>
      <c r="I145" s="35">
        <f>IF(OR(F145="",F145-VLOOKUP($A143,AWstandards,12,FALSE)&lt;0),0,INT(VLOOKUP($A143,AWstandards,11,FALSE)*(F145-VLOOKUP($A143,AWstandards,12,FALSE))^VLOOKUP($A143,AWstandards,13,FALSE)+0.5))</f>
        <v>524</v>
      </c>
      <c r="J145" s="32">
        <f>IF(F145="","",IF(F145-VLOOKUP($A143,AWstandards,VLOOKUP(D145,Age,2,FALSE),FALSE)&lt;0,"","aw"))</f>
      </c>
      <c r="K145" s="39">
        <f t="shared" si="21"/>
      </c>
      <c r="L145" s="39">
        <f t="shared" si="21"/>
      </c>
      <c r="M145" s="39">
        <f t="shared" si="21"/>
      </c>
      <c r="N145" s="39">
        <f t="shared" si="21"/>
        <v>3</v>
      </c>
      <c r="O145" s="39"/>
      <c r="P145" s="35"/>
      <c r="R145" t="s">
        <v>810</v>
      </c>
    </row>
    <row r="146" spans="1:18" ht="12.75">
      <c r="A146" s="4" t="s">
        <v>313</v>
      </c>
      <c r="B146" s="107">
        <v>3</v>
      </c>
      <c r="C146" s="26" t="str">
        <f>IF(A146="","",VLOOKUP($A143,IF(LEN(A146)=2,MSB,MSA),VLOOKUP(LEFT(A146,1),Teams,6,FALSE),FALSE))</f>
        <v>Mark Alden</v>
      </c>
      <c r="D146" s="26" t="str">
        <f>IF(A146="","",VLOOKUP($A143,IF(LEN(A146)=2,MSB,MSA),VLOOKUP(LEFT(A146,1),Teams,7,FALSE),FALSE))</f>
        <v>SM</v>
      </c>
      <c r="E146" s="26" t="str">
        <f>IF(A146="","",VLOOKUP(LEFT(A146,1),Teams,2,FALSE))</f>
        <v>Epsom &amp; Ewell</v>
      </c>
      <c r="F146" s="10" t="s">
        <v>335</v>
      </c>
      <c r="G146" s="43">
        <v>2</v>
      </c>
      <c r="H146" s="14"/>
      <c r="I146" s="35">
        <f>IF(OR(F146="",F146-VLOOKUP($A143,AWstandards,12,FALSE)&lt;0),0,INT(VLOOKUP($A143,AWstandards,11,FALSE)*(F146-VLOOKUP($A143,AWstandards,12,FALSE))^VLOOKUP($A143,AWstandards,13,FALSE)+0.5))</f>
        <v>402</v>
      </c>
      <c r="J146" s="32">
        <f>IF(F146="","",IF(F146-VLOOKUP($A143,AWstandards,VLOOKUP(D146,Age,2,FALSE),FALSE)&lt;0,"","aw"))</f>
      </c>
      <c r="K146" s="39">
        <f t="shared" si="21"/>
        <v>2</v>
      </c>
      <c r="L146" s="39">
        <f t="shared" si="21"/>
      </c>
      <c r="M146" s="39">
        <f t="shared" si="21"/>
      </c>
      <c r="N146" s="39">
        <f t="shared" si="21"/>
      </c>
      <c r="O146" s="39"/>
      <c r="P146" s="35"/>
      <c r="R146" t="s">
        <v>810</v>
      </c>
    </row>
    <row r="147" spans="1:18" ht="12.75">
      <c r="A147" s="4" t="s">
        <v>328</v>
      </c>
      <c r="B147" s="107">
        <v>4</v>
      </c>
      <c r="C147" s="26" t="str">
        <f>IF(A147="","",VLOOKUP($A143,IF(LEN(A147)=2,MSB,MSA),VLOOKUP(LEFT(A147,1),Teams,6,FALSE),FALSE))</f>
        <v>Richard Wheeler</v>
      </c>
      <c r="D147" s="26" t="str">
        <f>IF(A147="","",VLOOKUP($A143,IF(LEN(A147)=2,MSB,MSA),VLOOKUP(LEFT(A147,1),Teams,7,FALSE),FALSE))</f>
        <v>M50</v>
      </c>
      <c r="E147" s="26" t="str">
        <f>IF(A147="","",VLOOKUP(LEFT(A147,1),Teams,2,FALSE))</f>
        <v>Team Dorset</v>
      </c>
      <c r="F147" s="10" t="s">
        <v>565</v>
      </c>
      <c r="G147" s="43">
        <v>1</v>
      </c>
      <c r="H147" s="14"/>
      <c r="I147" s="35">
        <f>IF(OR(F147="",F147-VLOOKUP($A143,AWstandards,12,FALSE)&lt;0),0,INT(VLOOKUP($A143,AWstandards,11,FALSE)*(F147-VLOOKUP($A143,AWstandards,12,FALSE))^VLOOKUP($A143,AWstandards,13,FALSE)+0.5))</f>
        <v>367</v>
      </c>
      <c r="J147" s="32">
        <f>IF(F147="","",IF(F147-VLOOKUP($A143,AWstandards,VLOOKUP(D147,Age,2,FALSE),FALSE)&lt;0,"","aw"))</f>
      </c>
      <c r="K147" s="39">
        <f t="shared" si="21"/>
      </c>
      <c r="L147" s="39">
        <f t="shared" si="21"/>
      </c>
      <c r="M147" s="39">
        <f t="shared" si="21"/>
        <v>1</v>
      </c>
      <c r="N147" s="39">
        <f t="shared" si="21"/>
      </c>
      <c r="O147" s="39">
        <f>10-SUM(K144:N147)</f>
        <v>0</v>
      </c>
      <c r="P147" s="35"/>
      <c r="R147" t="s">
        <v>810</v>
      </c>
    </row>
    <row r="148" spans="1:16" ht="12.75">
      <c r="A148" s="106" t="s">
        <v>989</v>
      </c>
      <c r="B148" s="17"/>
      <c r="C148" s="27" t="s">
        <v>698</v>
      </c>
      <c r="D148" s="28"/>
      <c r="E148" s="29"/>
      <c r="F148" s="8"/>
      <c r="G148" s="42"/>
      <c r="H148" s="14"/>
      <c r="I148" s="35"/>
      <c r="J148" s="35"/>
      <c r="K148" s="39"/>
      <c r="L148" s="39"/>
      <c r="M148" s="39"/>
      <c r="N148" s="39"/>
      <c r="O148" s="39"/>
      <c r="P148" s="35" t="s">
        <v>931</v>
      </c>
    </row>
    <row r="149" spans="1:18" ht="12.75">
      <c r="A149" s="4" t="s">
        <v>315</v>
      </c>
      <c r="B149" s="107">
        <v>1</v>
      </c>
      <c r="C149" s="26" t="str">
        <f>IF(A149="","",VLOOKUP($A148,IF(LEN(A149)=2,MSB,MSA),VLOOKUP(LEFT(A149,1),Teams,6,FALSE),FALSE))</f>
        <v>Richard Reeks</v>
      </c>
      <c r="D149" s="26" t="str">
        <f>IF(A149="","",VLOOKUP($A148,IF(LEN(A149)=2,MSB,MSA),VLOOKUP(LEFT(A149,1),Teams,7,FALSE),FALSE))</f>
        <v>SM</v>
      </c>
      <c r="E149" s="26" t="str">
        <f>IF(A149="","",VLOOKUP(LEFT(A149,1),Teams,2,FALSE))</f>
        <v>Crawley</v>
      </c>
      <c r="F149" s="10" t="s">
        <v>35</v>
      </c>
      <c r="G149" s="43">
        <v>4</v>
      </c>
      <c r="H149" s="14"/>
      <c r="I149" s="35">
        <f>IF(OR(F149="",F149-VLOOKUP($A148,AWstandards,12,FALSE)&lt;0),0,INT(VLOOKUP($A148,AWstandards,11,FALSE)*(F149-VLOOKUP($A148,AWstandards,12,FALSE))^VLOOKUP($A148,AWstandards,13,FALSE)+0.5))</f>
        <v>711</v>
      </c>
      <c r="J149" s="32" t="str">
        <f>IF(F149="","",IF(F149-VLOOKUP($A148,AWstandards,VLOOKUP(D149,Age,2,FALSE),FALSE)&lt;0,"","aw"))</f>
        <v>aw</v>
      </c>
      <c r="K149" s="39">
        <f aca="true" t="shared" si="22" ref="K149:N152">IF($A149="","",IF(LEFT($A149,1)=K$8,$G149,""))</f>
      </c>
      <c r="L149" s="39">
        <f t="shared" si="22"/>
        <v>4</v>
      </c>
      <c r="M149" s="39">
        <f t="shared" si="22"/>
      </c>
      <c r="N149" s="39">
        <f t="shared" si="22"/>
      </c>
      <c r="O149" s="39"/>
      <c r="P149" s="35"/>
      <c r="R149" t="s">
        <v>804</v>
      </c>
    </row>
    <row r="150" spans="1:18" ht="12.75">
      <c r="A150" s="4" t="s">
        <v>312</v>
      </c>
      <c r="B150" s="107">
        <v>2</v>
      </c>
      <c r="C150" s="26" t="str">
        <f>IF(A150="","",VLOOKUP($A148,IF(LEN(A150)=2,MSB,MSA),VLOOKUP(LEFT(A150,1),Teams,6,FALSE),FALSE))</f>
        <v>Ian Frankish</v>
      </c>
      <c r="D150" s="26" t="str">
        <f>IF(A150="","",VLOOKUP($A148,IF(LEN(A150)=2,MSB,MSA),VLOOKUP(LEFT(A150,1),Teams,7,FALSE),FALSE))</f>
        <v>SM</v>
      </c>
      <c r="E150" s="26" t="str">
        <f>IF(A150="","",VLOOKUP(LEFT(A150,1),Teams,2,FALSE))</f>
        <v>Epsom &amp; Ewell</v>
      </c>
      <c r="F150" s="10" t="s">
        <v>36</v>
      </c>
      <c r="G150" s="43">
        <v>3</v>
      </c>
      <c r="H150" s="14"/>
      <c r="I150" s="35">
        <f>IF(OR(F150="",F150-VLOOKUP($A148,AWstandards,12,FALSE)&lt;0),0,INT(VLOOKUP($A148,AWstandards,11,FALSE)*(F150-VLOOKUP($A148,AWstandards,12,FALSE))^VLOOKUP($A148,AWstandards,13,FALSE)+0.5))</f>
        <v>618</v>
      </c>
      <c r="J150" s="32" t="str">
        <f>IF(F150="","",IF(F150-VLOOKUP($A148,AWstandards,VLOOKUP(D150,Age,2,FALSE),FALSE)&lt;0,"","aw"))</f>
        <v>aw</v>
      </c>
      <c r="K150" s="39">
        <f t="shared" si="22"/>
        <v>3</v>
      </c>
      <c r="L150" s="39">
        <f t="shared" si="22"/>
      </c>
      <c r="M150" s="39">
        <f t="shared" si="22"/>
      </c>
      <c r="N150" s="39">
        <f t="shared" si="22"/>
      </c>
      <c r="O150" s="39"/>
      <c r="P150" s="35"/>
      <c r="R150" t="s">
        <v>804</v>
      </c>
    </row>
    <row r="151" spans="1:18" ht="12.75">
      <c r="A151" s="4" t="s">
        <v>322</v>
      </c>
      <c r="B151" s="107">
        <v>3</v>
      </c>
      <c r="C151" s="26" t="str">
        <f>IF(A151="","",VLOOKUP($A148,IF(LEN(A151)=2,MSB,MSA),VLOOKUP(LEFT(A151,1),Teams,6,FALSE),FALSE))</f>
        <v>Lewis Church</v>
      </c>
      <c r="D151" s="26" t="str">
        <f>IF(A151="","",VLOOKUP($A148,IF(LEN(A151)=2,MSB,MSA),VLOOKUP(LEFT(A151,1),Teams,7,FALSE),FALSE))</f>
        <v>U20</v>
      </c>
      <c r="E151" s="26" t="str">
        <f>IF(A151="","",VLOOKUP(LEFT(A151,1),Teams,2,FALSE))</f>
        <v>Tonbridge</v>
      </c>
      <c r="F151" s="10" t="s">
        <v>37</v>
      </c>
      <c r="G151" s="43">
        <v>2</v>
      </c>
      <c r="H151" s="14"/>
      <c r="I151" s="35">
        <f>IF(OR(F151="",F151-VLOOKUP($A148,AWstandards,12,FALSE)&lt;0),0,INT(VLOOKUP($A148,AWstandards,11,FALSE)*(F151-VLOOKUP($A148,AWstandards,12,FALSE))^VLOOKUP($A148,AWstandards,13,FALSE)+0.5))</f>
        <v>607</v>
      </c>
      <c r="J151" s="32" t="str">
        <f>IF(F151="","",IF(F151-VLOOKUP($A148,AWstandards,VLOOKUP(D151,Age,2,FALSE),FALSE)&lt;0,"","aw"))</f>
        <v>aw</v>
      </c>
      <c r="K151" s="39">
        <f t="shared" si="22"/>
      </c>
      <c r="L151" s="39">
        <f t="shared" si="22"/>
      </c>
      <c r="M151" s="39">
        <f t="shared" si="22"/>
      </c>
      <c r="N151" s="39">
        <f t="shared" si="22"/>
        <v>2</v>
      </c>
      <c r="O151" s="39"/>
      <c r="P151" s="35"/>
      <c r="R151" t="s">
        <v>804</v>
      </c>
    </row>
    <row r="152" spans="1:18" ht="12.75">
      <c r="A152" s="4" t="s">
        <v>328</v>
      </c>
      <c r="B152" s="107">
        <v>4</v>
      </c>
      <c r="C152" s="26" t="str">
        <f>IF(A152="","",VLOOKUP($A148,IF(LEN(A152)=2,MSB,MSA),VLOOKUP(LEFT(A152,1),Teams,6,FALSE),FALSE))</f>
        <v>Richard Wheeler</v>
      </c>
      <c r="D152" s="26" t="str">
        <f>IF(A152="","",VLOOKUP($A148,IF(LEN(A152)=2,MSB,MSA),VLOOKUP(LEFT(A152,1),Teams,7,FALSE),FALSE))</f>
        <v>M50</v>
      </c>
      <c r="E152" s="26" t="str">
        <f>IF(A152="","",VLOOKUP(LEFT(A152,1),Teams,2,FALSE))</f>
        <v>Team Dorset</v>
      </c>
      <c r="F152" s="10" t="s">
        <v>38</v>
      </c>
      <c r="G152" s="43">
        <v>1</v>
      </c>
      <c r="H152" s="14"/>
      <c r="I152" s="35">
        <f>IF(OR(F152="",F152-VLOOKUP($A148,AWstandards,12,FALSE)&lt;0),0,INT(VLOOKUP($A148,AWstandards,11,FALSE)*(F152-VLOOKUP($A148,AWstandards,12,FALSE))^VLOOKUP($A148,AWstandards,13,FALSE)+0.5))</f>
        <v>437</v>
      </c>
      <c r="J152" s="32">
        <f>IF(F152="","",IF(F152-VLOOKUP($A148,AWstandards,VLOOKUP(D152,Age,2,FALSE),FALSE)&lt;0,"","aw"))</f>
      </c>
      <c r="K152" s="39">
        <f t="shared" si="22"/>
      </c>
      <c r="L152" s="39">
        <f t="shared" si="22"/>
      </c>
      <c r="M152" s="39">
        <f t="shared" si="22"/>
        <v>1</v>
      </c>
      <c r="N152" s="39">
        <f t="shared" si="22"/>
      </c>
      <c r="O152" s="39">
        <f>10-SUM(K149:N152)</f>
        <v>0</v>
      </c>
      <c r="P152" s="35"/>
      <c r="R152" t="s">
        <v>804</v>
      </c>
    </row>
    <row r="153" spans="1:16" ht="12.75">
      <c r="A153" s="106" t="s">
        <v>989</v>
      </c>
      <c r="B153" s="17"/>
      <c r="C153" s="27" t="s">
        <v>699</v>
      </c>
      <c r="D153" s="28"/>
      <c r="E153" s="29"/>
      <c r="F153" s="8"/>
      <c r="G153" s="42"/>
      <c r="H153" s="14"/>
      <c r="I153" s="35"/>
      <c r="J153" s="35"/>
      <c r="K153" s="39"/>
      <c r="L153" s="39"/>
      <c r="M153" s="39"/>
      <c r="N153" s="39"/>
      <c r="O153" s="39"/>
      <c r="P153" s="35" t="s">
        <v>932</v>
      </c>
    </row>
    <row r="154" spans="1:18" ht="12.75">
      <c r="A154" s="4" t="s">
        <v>327</v>
      </c>
      <c r="B154" s="107">
        <v>1</v>
      </c>
      <c r="C154" s="26" t="str">
        <f>IF(A154="","",VLOOKUP($A153,IF(LEN(A154)=2,MSB,MSA),VLOOKUP(LEFT(A154,1),Teams,6,FALSE),FALSE))</f>
        <v>Martyn Ormerod</v>
      </c>
      <c r="D154" s="26" t="str">
        <f>IF(A154="","",VLOOKUP($A153,IF(LEN(A154)=2,MSB,MSA),VLOOKUP(LEFT(A154,1),Teams,7,FALSE),FALSE))</f>
        <v>SM</v>
      </c>
      <c r="E154" s="26" t="str">
        <f>IF(A154="","",VLOOKUP(LEFT(A154,1),Teams,2,FALSE))</f>
        <v>Tonbridge</v>
      </c>
      <c r="F154" s="10" t="s">
        <v>39</v>
      </c>
      <c r="G154" s="43">
        <v>4</v>
      </c>
      <c r="H154" s="14"/>
      <c r="I154" s="35">
        <f>IF(OR(F154="",F154-VLOOKUP($A153,AWstandards,12,FALSE)&lt;0),0,INT(VLOOKUP($A153,AWstandards,11,FALSE)*(F154-VLOOKUP($A153,AWstandards,12,FALSE))^VLOOKUP($A153,AWstandards,13,FALSE)+0.5))</f>
        <v>500</v>
      </c>
      <c r="J154" s="32">
        <f>IF(F154="","",IF(F154-VLOOKUP($A153,AWstandards,VLOOKUP(D154,Age,2,FALSE),FALSE)&lt;0,"","aw"))</f>
      </c>
      <c r="K154" s="39">
        <f aca="true" t="shared" si="23" ref="K154:N157">IF($A154="","",IF(LEFT($A154,1)=K$8,$G154,""))</f>
      </c>
      <c r="L154" s="39">
        <f t="shared" si="23"/>
      </c>
      <c r="M154" s="39">
        <f t="shared" si="23"/>
      </c>
      <c r="N154" s="39">
        <f t="shared" si="23"/>
        <v>4</v>
      </c>
      <c r="O154" s="39"/>
      <c r="P154" s="35"/>
      <c r="R154" t="s">
        <v>804</v>
      </c>
    </row>
    <row r="155" spans="1:18" ht="12.75">
      <c r="A155" s="4" t="s">
        <v>321</v>
      </c>
      <c r="B155" s="107">
        <v>2</v>
      </c>
      <c r="C155" s="26" t="str">
        <f>IF(A155="","",VLOOKUP($A153,IF(LEN(A155)=2,MSB,MSA),VLOOKUP(LEFT(A155,1),Teams,6,FALSE),FALSE))</f>
        <v>David Freeman </v>
      </c>
      <c r="D155" s="26" t="str">
        <f>IF(A155="","",VLOOKUP($A153,IF(LEN(A155)=2,MSB,MSA),VLOOKUP(LEFT(A155,1),Teams,7,FALSE),FALSE))</f>
        <v>SM</v>
      </c>
      <c r="E155" s="26" t="str">
        <f>IF(A155="","",VLOOKUP(LEFT(A155,1),Teams,2,FALSE))</f>
        <v>Crawley</v>
      </c>
      <c r="F155" s="10" t="s">
        <v>40</v>
      </c>
      <c r="G155" s="43">
        <v>3</v>
      </c>
      <c r="H155" s="14"/>
      <c r="I155" s="35">
        <f>IF(OR(F155="",F155-VLOOKUP($A153,AWstandards,12,FALSE)&lt;0),0,INT(VLOOKUP($A153,AWstandards,11,FALSE)*(F155-VLOOKUP($A153,AWstandards,12,FALSE))^VLOOKUP($A153,AWstandards,13,FALSE)+0.5))</f>
        <v>392</v>
      </c>
      <c r="J155" s="32">
        <f>IF(F155="","",IF(F155-VLOOKUP($A153,AWstandards,VLOOKUP(D155,Age,2,FALSE),FALSE)&lt;0,"","aw"))</f>
      </c>
      <c r="K155" s="39">
        <f t="shared" si="23"/>
      </c>
      <c r="L155" s="39">
        <f t="shared" si="23"/>
        <v>3</v>
      </c>
      <c r="M155" s="39">
        <f t="shared" si="23"/>
      </c>
      <c r="N155" s="39">
        <f t="shared" si="23"/>
      </c>
      <c r="O155" s="39"/>
      <c r="P155" s="35"/>
      <c r="R155" t="s">
        <v>804</v>
      </c>
    </row>
    <row r="156" spans="1:18" ht="12.75">
      <c r="A156" s="4" t="s">
        <v>320</v>
      </c>
      <c r="B156" s="107">
        <v>3</v>
      </c>
      <c r="C156" s="26" t="str">
        <f>IF(A156="","",VLOOKUP($A153,IF(LEN(A156)=2,MSB,MSA),VLOOKUP(LEFT(A156,1),Teams,6,FALSE),FALSE))</f>
        <v>Jack Snook</v>
      </c>
      <c r="D156" s="26" t="str">
        <f>IF(A156="","",VLOOKUP($A153,IF(LEN(A156)=2,MSB,MSA),VLOOKUP(LEFT(A156,1),Teams,7,FALSE),FALSE))</f>
        <v>U20</v>
      </c>
      <c r="E156" s="26" t="str">
        <f>IF(A156="","",VLOOKUP(LEFT(A156,1),Teams,2,FALSE))</f>
        <v>Team Dorset</v>
      </c>
      <c r="F156" s="10" t="s">
        <v>41</v>
      </c>
      <c r="G156" s="43">
        <v>2</v>
      </c>
      <c r="H156" s="14"/>
      <c r="I156" s="35">
        <f>IF(OR(F156="",F156-VLOOKUP($A153,AWstandards,12,FALSE)&lt;0),0,INT(VLOOKUP($A153,AWstandards,11,FALSE)*(F156-VLOOKUP($A153,AWstandards,12,FALSE))^VLOOKUP($A153,AWstandards,13,FALSE)+0.5))</f>
        <v>336</v>
      </c>
      <c r="J156" s="32">
        <f>IF(F156="","",IF(F156-VLOOKUP($A153,AWstandards,VLOOKUP(D156,Age,2,FALSE),FALSE)&lt;0,"","aw"))</f>
      </c>
      <c r="K156" s="39">
        <f t="shared" si="23"/>
      </c>
      <c r="L156" s="39">
        <f t="shared" si="23"/>
      </c>
      <c r="M156" s="39">
        <f t="shared" si="23"/>
        <v>2</v>
      </c>
      <c r="N156" s="39">
        <f t="shared" si="23"/>
      </c>
      <c r="O156" s="39"/>
      <c r="P156" s="35"/>
      <c r="R156" t="s">
        <v>804</v>
      </c>
    </row>
    <row r="157" spans="1:18" ht="12.75">
      <c r="A157" s="4" t="s">
        <v>313</v>
      </c>
      <c r="B157" s="107">
        <v>4</v>
      </c>
      <c r="C157" s="26" t="str">
        <f>IF(A157="","",VLOOKUP($A153,IF(LEN(A157)=2,MSB,MSA),VLOOKUP(LEFT(A157,1),Teams,6,FALSE),FALSE))</f>
        <v>Brian Harlick</v>
      </c>
      <c r="D157" s="26" t="s">
        <v>61</v>
      </c>
      <c r="E157" s="26" t="str">
        <f>IF(A157="","",VLOOKUP(LEFT(A157,1),Teams,2,FALSE))</f>
        <v>Epsom &amp; Ewell</v>
      </c>
      <c r="F157" s="10" t="s">
        <v>42</v>
      </c>
      <c r="G157" s="43">
        <v>1</v>
      </c>
      <c r="H157" s="14"/>
      <c r="I157" s="35">
        <f>IF(OR(F157="",F157-VLOOKUP($A153,AWstandards,12,FALSE)&lt;0),0,INT(VLOOKUP($A153,AWstandards,11,FALSE)*(F157-VLOOKUP($A153,AWstandards,12,FALSE))^VLOOKUP($A153,AWstandards,13,FALSE)+0.5))</f>
        <v>314</v>
      </c>
      <c r="J157" s="32"/>
      <c r="K157" s="39">
        <f t="shared" si="23"/>
        <v>1</v>
      </c>
      <c r="L157" s="39">
        <f t="shared" si="23"/>
      </c>
      <c r="M157" s="39">
        <f t="shared" si="23"/>
      </c>
      <c r="N157" s="39">
        <f t="shared" si="23"/>
      </c>
      <c r="O157" s="39">
        <f>10-SUM(K154:N157)</f>
        <v>0</v>
      </c>
      <c r="P157" s="35"/>
      <c r="R157" t="s">
        <v>804</v>
      </c>
    </row>
    <row r="158" spans="1:16" ht="12.75">
      <c r="A158" s="106" t="s">
        <v>991</v>
      </c>
      <c r="B158" s="45"/>
      <c r="C158" s="30" t="s">
        <v>700</v>
      </c>
      <c r="D158" s="31"/>
      <c r="E158" s="32"/>
      <c r="F158" s="11"/>
      <c r="G158" s="44"/>
      <c r="H158" s="14"/>
      <c r="I158" s="35"/>
      <c r="J158" s="35"/>
      <c r="K158" s="39"/>
      <c r="L158" s="39"/>
      <c r="M158" s="39"/>
      <c r="N158" s="39"/>
      <c r="O158" s="39"/>
      <c r="P158" s="35" t="s">
        <v>933</v>
      </c>
    </row>
    <row r="159" spans="1:18" ht="12.75">
      <c r="A159" s="4" t="s">
        <v>315</v>
      </c>
      <c r="B159" s="107">
        <v>1</v>
      </c>
      <c r="C159" s="26" t="str">
        <f>IF(A159="","",VLOOKUP($A158,IF(LEN(A159)=2,MSB,MSA),VLOOKUP(LEFT(A159,1),Teams,6,FALSE),FALSE))</f>
        <v>Matt Lasis </v>
      </c>
      <c r="D159" s="26" t="str">
        <f>IF(A159="","",VLOOKUP($A158,IF(LEN(A159)=2,MSB,MSA),VLOOKUP(LEFT(A159,1),Teams,7,FALSE),FALSE))</f>
        <v>U23</v>
      </c>
      <c r="E159" s="26" t="str">
        <f>IF(A159="","",VLOOKUP(LEFT(A159,1),Teams,2,FALSE))</f>
        <v>Crawley</v>
      </c>
      <c r="F159" s="10" t="s">
        <v>133</v>
      </c>
      <c r="G159" s="43">
        <v>4</v>
      </c>
      <c r="H159" s="14"/>
      <c r="I159" s="35">
        <f>IF(OR(F159="",F159-VLOOKUP($A158,AWstandards,12,FALSE)&lt;0),0,INT(VLOOKUP($A158,AWstandards,11,FALSE)*(F159-VLOOKUP($A158,AWstandards,12,FALSE))^VLOOKUP($A158,AWstandards,13,FALSE)+0.5))</f>
        <v>858</v>
      </c>
      <c r="J159" s="32" t="str">
        <f>IF(F159="","",IF(F159-VLOOKUP($A158,AWstandards,VLOOKUP(D159,Age,2,FALSE),FALSE)&lt;0,"","aw"))</f>
        <v>aw</v>
      </c>
      <c r="K159" s="39">
        <f aca="true" t="shared" si="24" ref="K159:N162">IF($A159="","",IF(LEFT($A159,1)=K$8,$G159,""))</f>
      </c>
      <c r="L159" s="39">
        <f t="shared" si="24"/>
        <v>4</v>
      </c>
      <c r="M159" s="39">
        <f t="shared" si="24"/>
      </c>
      <c r="N159" s="39">
        <f t="shared" si="24"/>
      </c>
      <c r="O159" s="39"/>
      <c r="P159" s="35"/>
      <c r="R159" t="s">
        <v>805</v>
      </c>
    </row>
    <row r="160" spans="1:18" ht="12.75">
      <c r="A160" s="4" t="s">
        <v>320</v>
      </c>
      <c r="B160" s="107">
        <v>2</v>
      </c>
      <c r="C160" s="26" t="str">
        <f>IF(A160="","",VLOOKUP($A158,IF(LEN(A160)=2,MSB,MSA),VLOOKUP(LEFT(A160,1),Teams,6,FALSE),FALSE))</f>
        <v>Alistair Tuck</v>
      </c>
      <c r="D160" s="26" t="str">
        <f>IF(A160="","",VLOOKUP($A158,IF(LEN(A160)=2,MSB,MSA),VLOOKUP(LEFT(A160,1),Teams,7,FALSE),FALSE))</f>
        <v>SM</v>
      </c>
      <c r="E160" s="26" t="str">
        <f>IF(A160="","",VLOOKUP(LEFT(A160,1),Teams,2,FALSE))</f>
        <v>Team Dorset</v>
      </c>
      <c r="F160" s="10" t="s">
        <v>134</v>
      </c>
      <c r="G160" s="43">
        <v>3</v>
      </c>
      <c r="H160" s="14"/>
      <c r="I160" s="35">
        <f>IF(OR(F160="",F160-VLOOKUP($A158,AWstandards,12,FALSE)&lt;0),0,INT(VLOOKUP($A158,AWstandards,11,FALSE)*(F160-VLOOKUP($A158,AWstandards,12,FALSE))^VLOOKUP($A158,AWstandards,13,FALSE)+0.5))</f>
        <v>732</v>
      </c>
      <c r="J160" s="32" t="str">
        <f>IF(F160="","",IF(F160-VLOOKUP($A158,AWstandards,VLOOKUP(D160,Age,2,FALSE),FALSE)&lt;0,"","aw"))</f>
        <v>aw</v>
      </c>
      <c r="K160" s="39">
        <f t="shared" si="24"/>
      </c>
      <c r="L160" s="39">
        <f t="shared" si="24"/>
      </c>
      <c r="M160" s="39">
        <f t="shared" si="24"/>
        <v>3</v>
      </c>
      <c r="N160" s="39">
        <f t="shared" si="24"/>
      </c>
      <c r="O160" s="39"/>
      <c r="P160" s="35"/>
      <c r="R160" t="s">
        <v>805</v>
      </c>
    </row>
    <row r="161" spans="1:18" ht="12.75">
      <c r="A161" s="4" t="s">
        <v>312</v>
      </c>
      <c r="B161" s="107">
        <v>3</v>
      </c>
      <c r="C161" s="26" t="str">
        <f>IF(A161="","",VLOOKUP($A158,IF(LEN(A161)=2,MSB,MSA),VLOOKUP(LEFT(A161,1),Teams,6,FALSE),FALSE))</f>
        <v>Ian Frankish</v>
      </c>
      <c r="D161" s="26" t="str">
        <f>IF(A161="","",VLOOKUP($A158,IF(LEN(A161)=2,MSB,MSA),VLOOKUP(LEFT(A161,1),Teams,7,FALSE),FALSE))</f>
        <v>SM</v>
      </c>
      <c r="E161" s="26" t="str">
        <f>IF(A161="","",VLOOKUP(LEFT(A161,1),Teams,2,FALSE))</f>
        <v>Epsom &amp; Ewell</v>
      </c>
      <c r="F161" s="10" t="s">
        <v>135</v>
      </c>
      <c r="G161" s="43">
        <v>2</v>
      </c>
      <c r="H161" s="14"/>
      <c r="I161" s="35">
        <f>IF(OR(F161="",F161-VLOOKUP($A158,AWstandards,12,FALSE)&lt;0),0,INT(VLOOKUP($A158,AWstandards,11,FALSE)*(F161-VLOOKUP($A158,AWstandards,12,FALSE))^VLOOKUP($A158,AWstandards,13,FALSE)+0.5))</f>
        <v>659</v>
      </c>
      <c r="J161" s="32" t="str">
        <f>IF(F161="","",IF(F161-VLOOKUP($A158,AWstandards,VLOOKUP(D161,Age,2,FALSE),FALSE)&lt;0,"","aw"))</f>
        <v>aw</v>
      </c>
      <c r="K161" s="39">
        <f t="shared" si="24"/>
        <v>2</v>
      </c>
      <c r="L161" s="39">
        <f t="shared" si="24"/>
      </c>
      <c r="M161" s="39">
        <f t="shared" si="24"/>
      </c>
      <c r="N161" s="39">
        <f t="shared" si="24"/>
      </c>
      <c r="O161" s="39"/>
      <c r="P161" s="35"/>
      <c r="R161" t="s">
        <v>805</v>
      </c>
    </row>
    <row r="162" spans="1:18" ht="12.75">
      <c r="A162" s="4" t="s">
        <v>322</v>
      </c>
      <c r="B162" s="107">
        <v>4</v>
      </c>
      <c r="C162" s="26" t="str">
        <f>IF(A162="","",VLOOKUP($A158,IF(LEN(A162)=2,MSB,MSA),VLOOKUP(LEFT(A162,1),Teams,6,FALSE),FALSE))</f>
        <v>Alex Hookway</v>
      </c>
      <c r="D162" s="26" t="str">
        <f>IF(A162="","",VLOOKUP($A158,IF(LEN(A162)=2,MSB,MSA),VLOOKUP(LEFT(A162,1),Teams,7,FALSE),FALSE))</f>
        <v>SM</v>
      </c>
      <c r="E162" s="26" t="str">
        <f>IF(A162="","",VLOOKUP(LEFT(A162,1),Teams,2,FALSE))</f>
        <v>Tonbridge</v>
      </c>
      <c r="F162" s="10" t="s">
        <v>136</v>
      </c>
      <c r="G162" s="43">
        <v>1</v>
      </c>
      <c r="H162" s="14"/>
      <c r="I162" s="35">
        <f>IF(OR(F162="",F162-VLOOKUP($A158,AWstandards,12,FALSE)&lt;0),0,INT(VLOOKUP($A158,AWstandards,11,FALSE)*(F162-VLOOKUP($A158,AWstandards,12,FALSE))^VLOOKUP($A158,AWstandards,13,FALSE)+0.5))</f>
        <v>370</v>
      </c>
      <c r="J162" s="32">
        <f>IF(F162="","",IF(F162-VLOOKUP($A158,AWstandards,VLOOKUP(D162,Age,2,FALSE),FALSE)&lt;0,"","aw"))</f>
      </c>
      <c r="K162" s="39">
        <f t="shared" si="24"/>
      </c>
      <c r="L162" s="39">
        <f t="shared" si="24"/>
      </c>
      <c r="M162" s="39">
        <f t="shared" si="24"/>
      </c>
      <c r="N162" s="39">
        <f t="shared" si="24"/>
        <v>1</v>
      </c>
      <c r="O162" s="39">
        <f>10-SUM(K159:N162)</f>
        <v>0</v>
      </c>
      <c r="P162" s="35"/>
      <c r="R162" t="s">
        <v>805</v>
      </c>
    </row>
    <row r="163" spans="1:16" ht="12.75">
      <c r="A163" s="106" t="s">
        <v>991</v>
      </c>
      <c r="B163" s="17"/>
      <c r="C163" s="27" t="s">
        <v>701</v>
      </c>
      <c r="D163" s="28"/>
      <c r="E163" s="29"/>
      <c r="F163" s="8"/>
      <c r="G163" s="42"/>
      <c r="H163" s="14"/>
      <c r="I163" s="35"/>
      <c r="J163" s="35"/>
      <c r="K163" s="39"/>
      <c r="L163" s="39"/>
      <c r="M163" s="39"/>
      <c r="N163" s="39"/>
      <c r="O163" s="39"/>
      <c r="P163" s="35" t="s">
        <v>934</v>
      </c>
    </row>
    <row r="164" spans="1:18" ht="12.75">
      <c r="A164" s="4" t="s">
        <v>328</v>
      </c>
      <c r="B164" s="107">
        <v>1</v>
      </c>
      <c r="C164" s="26" t="str">
        <f>IF(A164="","",VLOOKUP($A163,IF(LEN(A164)=2,MSB,MSA),VLOOKUP(LEFT(A164,1),Teams,6,FALSE),FALSE))</f>
        <v>Richard Wheeler</v>
      </c>
      <c r="D164" s="26" t="str">
        <f>IF(A164="","",VLOOKUP($A163,IF(LEN(A164)=2,MSB,MSA),VLOOKUP(LEFT(A164,1),Teams,7,FALSE),FALSE))</f>
        <v>M50</v>
      </c>
      <c r="E164" s="26" t="str">
        <f>IF(A164="","",VLOOKUP(LEFT(A164,1),Teams,2,FALSE))</f>
        <v>Team Dorset</v>
      </c>
      <c r="F164" s="10" t="s">
        <v>137</v>
      </c>
      <c r="G164" s="43">
        <v>4</v>
      </c>
      <c r="H164" s="14"/>
      <c r="I164" s="35">
        <f>IF(OR(F164="",F164-VLOOKUP($A163,AWstandards,12,FALSE)&lt;0),0,INT(VLOOKUP($A163,AWstandards,11,FALSE)*(F164-VLOOKUP($A163,AWstandards,12,FALSE))^VLOOKUP($A163,AWstandards,13,FALSE)+0.5))</f>
        <v>421</v>
      </c>
      <c r="J164" s="32">
        <f>IF(F164="","",IF(F164-VLOOKUP($A163,AWstandards,VLOOKUP(D164,Age,2,FALSE),FALSE)&lt;0,"","aw"))</f>
      </c>
      <c r="K164" s="39">
        <f aca="true" t="shared" si="25" ref="K164:N167">IF($A164="","",IF(LEFT($A164,1)=K$8,$G164,""))</f>
      </c>
      <c r="L164" s="39">
        <f t="shared" si="25"/>
      </c>
      <c r="M164" s="39">
        <f t="shared" si="25"/>
        <v>4</v>
      </c>
      <c r="N164" s="39">
        <f t="shared" si="25"/>
      </c>
      <c r="O164" s="39"/>
      <c r="P164" s="35"/>
      <c r="R164" t="s">
        <v>805</v>
      </c>
    </row>
    <row r="165" spans="1:18" ht="12.75">
      <c r="A165" s="4" t="s">
        <v>321</v>
      </c>
      <c r="B165" s="107">
        <v>2</v>
      </c>
      <c r="C165" s="26" t="str">
        <f>IF(A165="","",VLOOKUP($A163,IF(LEN(A165)=2,MSB,MSA),VLOOKUP(LEFT(A165,1),Teams,6,FALSE),FALSE))</f>
        <v>David Freeman </v>
      </c>
      <c r="D165" s="26" t="str">
        <f>IF(A165="","",VLOOKUP($A163,IF(LEN(A165)=2,MSB,MSA),VLOOKUP(LEFT(A165,1),Teams,7,FALSE),FALSE))</f>
        <v>SM</v>
      </c>
      <c r="E165" s="26" t="str">
        <f>IF(A165="","",VLOOKUP(LEFT(A165,1),Teams,2,FALSE))</f>
        <v>Crawley</v>
      </c>
      <c r="F165" s="10" t="s">
        <v>138</v>
      </c>
      <c r="G165" s="43">
        <v>3</v>
      </c>
      <c r="H165" s="14"/>
      <c r="I165" s="35">
        <f>IF(OR(F165="",F165-VLOOKUP($A163,AWstandards,12,FALSE)&lt;0),0,INT(VLOOKUP($A163,AWstandards,11,FALSE)*(F165-VLOOKUP($A163,AWstandards,12,FALSE))^VLOOKUP($A163,AWstandards,13,FALSE)+0.5))</f>
        <v>386</v>
      </c>
      <c r="J165" s="32">
        <f>IF(F165="","",IF(F165-VLOOKUP($A163,AWstandards,VLOOKUP(D165,Age,2,FALSE),FALSE)&lt;0,"","aw"))</f>
      </c>
      <c r="K165" s="39">
        <f t="shared" si="25"/>
      </c>
      <c r="L165" s="39">
        <f t="shared" si="25"/>
        <v>3</v>
      </c>
      <c r="M165" s="39">
        <f t="shared" si="25"/>
      </c>
      <c r="N165" s="39">
        <f t="shared" si="25"/>
      </c>
      <c r="O165" s="39"/>
      <c r="P165" s="35"/>
      <c r="R165" t="s">
        <v>805</v>
      </c>
    </row>
    <row r="166" spans="1:18" ht="12.75">
      <c r="A166" s="4" t="s">
        <v>327</v>
      </c>
      <c r="B166" s="107">
        <v>3</v>
      </c>
      <c r="C166" s="26" t="str">
        <f>IF(A166="","",VLOOKUP($A163,IF(LEN(A166)=2,MSB,MSA),VLOOKUP(LEFT(A166,1),Teams,6,FALSE),FALSE))</f>
        <v>Martyn Ormerod</v>
      </c>
      <c r="D166" s="26" t="str">
        <f>IF(A166="","",VLOOKUP($A163,IF(LEN(A166)=2,MSB,MSA),VLOOKUP(LEFT(A166,1),Teams,7,FALSE),FALSE))</f>
        <v>SM</v>
      </c>
      <c r="E166" s="26" t="str">
        <f>IF(A166="","",VLOOKUP(LEFT(A166,1),Teams,2,FALSE))</f>
        <v>Tonbridge</v>
      </c>
      <c r="F166" s="10" t="s">
        <v>139</v>
      </c>
      <c r="G166" s="43">
        <v>2</v>
      </c>
      <c r="H166" s="14"/>
      <c r="I166" s="35">
        <f>IF(OR(F166="",F166-VLOOKUP($A163,AWstandards,12,FALSE)&lt;0),0,INT(VLOOKUP($A163,AWstandards,11,FALSE)*(F166-VLOOKUP($A163,AWstandards,12,FALSE))^VLOOKUP($A163,AWstandards,13,FALSE)+0.5))</f>
        <v>324</v>
      </c>
      <c r="J166" s="32">
        <f>IF(F166="","",IF(F166-VLOOKUP($A163,AWstandards,VLOOKUP(D166,Age,2,FALSE),FALSE)&lt;0,"","aw"))</f>
      </c>
      <c r="K166" s="39">
        <f t="shared" si="25"/>
      </c>
      <c r="L166" s="39">
        <f t="shared" si="25"/>
      </c>
      <c r="M166" s="39">
        <f t="shared" si="25"/>
      </c>
      <c r="N166" s="39">
        <f t="shared" si="25"/>
        <v>2</v>
      </c>
      <c r="O166" s="39"/>
      <c r="P166" s="35"/>
      <c r="R166" t="s">
        <v>805</v>
      </c>
    </row>
    <row r="167" spans="1:18" ht="12.75">
      <c r="A167" s="4" t="s">
        <v>313</v>
      </c>
      <c r="B167" s="107">
        <v>4</v>
      </c>
      <c r="C167" s="26" t="str">
        <f>IF(A167="","",VLOOKUP($A163,IF(LEN(A167)=2,MSB,MSA),VLOOKUP(LEFT(A167,1),Teams,6,FALSE),FALSE))</f>
        <v>Brian Harlick</v>
      </c>
      <c r="D167" s="26" t="s">
        <v>61</v>
      </c>
      <c r="E167" s="26" t="str">
        <f>IF(A167="","",VLOOKUP(LEFT(A167,1),Teams,2,FALSE))</f>
        <v>Epsom &amp; Ewell</v>
      </c>
      <c r="F167" s="10" t="s">
        <v>140</v>
      </c>
      <c r="G167" s="43">
        <v>1</v>
      </c>
      <c r="H167" s="14"/>
      <c r="I167" s="35">
        <f>IF(OR(F167="",F167-VLOOKUP($A163,AWstandards,12,FALSE)&lt;0),0,INT(VLOOKUP($A163,AWstandards,11,FALSE)*(F167-VLOOKUP($A163,AWstandards,12,FALSE))^VLOOKUP($A163,AWstandards,13,FALSE)+0.5))</f>
        <v>295</v>
      </c>
      <c r="J167" s="32"/>
      <c r="K167" s="39">
        <f t="shared" si="25"/>
        <v>1</v>
      </c>
      <c r="L167" s="39">
        <f t="shared" si="25"/>
      </c>
      <c r="M167" s="39">
        <f t="shared" si="25"/>
      </c>
      <c r="N167" s="39">
        <f t="shared" si="25"/>
      </c>
      <c r="O167" s="39">
        <f>10-SUM(K164:N167)</f>
        <v>0</v>
      </c>
      <c r="P167" s="35"/>
      <c r="R167" t="s">
        <v>805</v>
      </c>
    </row>
    <row r="168" spans="1:16" ht="12.75">
      <c r="A168" s="106" t="s">
        <v>990</v>
      </c>
      <c r="B168" s="17"/>
      <c r="C168" s="27" t="s">
        <v>702</v>
      </c>
      <c r="D168" s="28"/>
      <c r="E168" s="29"/>
      <c r="F168" s="8"/>
      <c r="G168" s="42"/>
      <c r="H168" s="14"/>
      <c r="I168" s="35"/>
      <c r="J168" s="35"/>
      <c r="K168" s="39"/>
      <c r="L168" s="39"/>
      <c r="M168" s="39"/>
      <c r="N168" s="39"/>
      <c r="O168" s="39"/>
      <c r="P168" s="35" t="s">
        <v>935</v>
      </c>
    </row>
    <row r="169" spans="1:18" ht="12.75">
      <c r="A169" s="4" t="s">
        <v>315</v>
      </c>
      <c r="B169" s="107">
        <v>1</v>
      </c>
      <c r="C169" s="26" t="str">
        <f>IF(A169="","",VLOOKUP($A168,IF(LEN(A169)=2,MSB,MSA),VLOOKUP(LEFT(A169,1),Teams,6,FALSE),FALSE))</f>
        <v>Richard Reeks</v>
      </c>
      <c r="D169" s="26" t="str">
        <f>IF(A169="","",VLOOKUP($A168,IF(LEN(A169)=2,MSB,MSA),VLOOKUP(LEFT(A169,1),Teams,7,FALSE),FALSE))</f>
        <v>SM</v>
      </c>
      <c r="E169" s="26" t="str">
        <f>IF(A169="","",VLOOKUP(LEFT(A169,1),Teams,2,FALSE))</f>
        <v>Crawley</v>
      </c>
      <c r="F169" s="10" t="s">
        <v>194</v>
      </c>
      <c r="G169" s="43">
        <v>4</v>
      </c>
      <c r="H169" s="14"/>
      <c r="I169" s="35">
        <f>IF(OR(F169="",F169-VLOOKUP($A168,AWstandards,12,FALSE)&lt;0),0,INT(VLOOKUP($A168,AWstandards,11,FALSE)*(F169-VLOOKUP($A168,AWstandards,12,FALSE))^VLOOKUP($A168,AWstandards,13,FALSE)+0.5))</f>
        <v>754</v>
      </c>
      <c r="J169" s="32" t="str">
        <f>IF(F169="","",IF(F169-VLOOKUP($A168,AWstandards,VLOOKUP(D169,Age,2,FALSE),FALSE)&lt;0,"","aw"))</f>
        <v>aw</v>
      </c>
      <c r="K169" s="39">
        <f aca="true" t="shared" si="26" ref="K169:N172">IF($A169="","",IF(LEFT($A169,1)=K$8,$G169,""))</f>
      </c>
      <c r="L169" s="39">
        <f t="shared" si="26"/>
        <v>4</v>
      </c>
      <c r="M169" s="39">
        <f t="shared" si="26"/>
      </c>
      <c r="N169" s="39">
        <f t="shared" si="26"/>
      </c>
      <c r="O169" s="39"/>
      <c r="P169" s="35"/>
      <c r="R169" t="s">
        <v>807</v>
      </c>
    </row>
    <row r="170" spans="1:18" ht="12.75">
      <c r="A170" s="4" t="s">
        <v>327</v>
      </c>
      <c r="B170" s="107">
        <v>2</v>
      </c>
      <c r="C170" s="26" t="str">
        <f>IF(A170="","",VLOOKUP($A168,IF(LEN(A170)=2,MSB,MSA),VLOOKUP(LEFT(A170,1),Teams,6,FALSE),FALSE))</f>
        <v>Martyn Ormerod</v>
      </c>
      <c r="D170" s="26" t="str">
        <f>IF(A170="","",VLOOKUP($A168,IF(LEN(A170)=2,MSB,MSA),VLOOKUP(LEFT(A170,1),Teams,7,FALSE),FALSE))</f>
        <v>SM</v>
      </c>
      <c r="E170" s="26" t="str">
        <f>IF(A170="","",VLOOKUP(LEFT(A170,1),Teams,2,FALSE))</f>
        <v>Tonbridge</v>
      </c>
      <c r="F170" s="10" t="s">
        <v>195</v>
      </c>
      <c r="G170" s="43">
        <v>3</v>
      </c>
      <c r="H170" s="14"/>
      <c r="I170" s="35">
        <f>IF(OR(F170="",F170-VLOOKUP($A168,AWstandards,12,FALSE)&lt;0),0,INT(VLOOKUP($A168,AWstandards,11,FALSE)*(F170-VLOOKUP($A168,AWstandards,12,FALSE))^VLOOKUP($A168,AWstandards,13,FALSE)+0.5))</f>
        <v>682</v>
      </c>
      <c r="J170" s="32" t="str">
        <f>IF(F170="","",IF(F170-VLOOKUP($A168,AWstandards,VLOOKUP(D170,Age,2,FALSE),FALSE)&lt;0,"","aw"))</f>
        <v>aw</v>
      </c>
      <c r="K170" s="39">
        <f t="shared" si="26"/>
      </c>
      <c r="L170" s="39">
        <f t="shared" si="26"/>
      </c>
      <c r="M170" s="39">
        <f t="shared" si="26"/>
      </c>
      <c r="N170" s="39">
        <f t="shared" si="26"/>
        <v>3</v>
      </c>
      <c r="O170" s="39"/>
      <c r="P170" s="35"/>
      <c r="R170" t="s">
        <v>807</v>
      </c>
    </row>
    <row r="171" spans="1:18" ht="12.75">
      <c r="A171" s="4" t="s">
        <v>312</v>
      </c>
      <c r="B171" s="107">
        <v>3</v>
      </c>
      <c r="C171" s="26" t="str">
        <f>IF(A171="","",VLOOKUP($A168,IF(LEN(A171)=2,MSB,MSA),VLOOKUP(LEFT(A171,1),Teams,6,FALSE),FALSE))</f>
        <v>Ian Frankish</v>
      </c>
      <c r="D171" s="26" t="str">
        <f>IF(A171="","",VLOOKUP($A168,IF(LEN(A171)=2,MSB,MSA),VLOOKUP(LEFT(A171,1),Teams,7,FALSE),FALSE))</f>
        <v>SM</v>
      </c>
      <c r="E171" s="26" t="str">
        <f>IF(A171="","",VLOOKUP(LEFT(A171,1),Teams,2,FALSE))</f>
        <v>Epsom &amp; Ewell</v>
      </c>
      <c r="F171" s="10" t="s">
        <v>196</v>
      </c>
      <c r="G171" s="43">
        <v>2</v>
      </c>
      <c r="H171" s="14"/>
      <c r="I171" s="35">
        <f>IF(OR(F171="",F171-VLOOKUP($A168,AWstandards,12,FALSE)&lt;0),0,INT(VLOOKUP($A168,AWstandards,11,FALSE)*(F171-VLOOKUP($A168,AWstandards,12,FALSE))^VLOOKUP($A168,AWstandards,13,FALSE)+0.5))</f>
        <v>566</v>
      </c>
      <c r="J171" s="32" t="str">
        <f>IF(F171="","",IF(F171-VLOOKUP($A168,AWstandards,VLOOKUP(D171,Age,2,FALSE),FALSE)&lt;0,"","aw"))</f>
        <v>aw</v>
      </c>
      <c r="K171" s="39">
        <f t="shared" si="26"/>
        <v>2</v>
      </c>
      <c r="L171" s="39">
        <f t="shared" si="26"/>
      </c>
      <c r="M171" s="39">
        <f t="shared" si="26"/>
      </c>
      <c r="N171" s="39">
        <f t="shared" si="26"/>
      </c>
      <c r="O171" s="39"/>
      <c r="P171" s="35"/>
      <c r="R171" t="s">
        <v>807</v>
      </c>
    </row>
    <row r="172" spans="1:18" ht="12.75">
      <c r="A172" s="4" t="s">
        <v>328</v>
      </c>
      <c r="B172" s="107">
        <v>4</v>
      </c>
      <c r="C172" s="26" t="str">
        <f>IF(A172="","",VLOOKUP($A168,IF(LEN(A172)=2,MSB,MSA),VLOOKUP(LEFT(A172,1),Teams,6,FALSE),FALSE))</f>
        <v>Richard Wheeler</v>
      </c>
      <c r="D172" s="26" t="str">
        <f>IF(A172="","",VLOOKUP($A168,IF(LEN(A172)=2,MSB,MSA),VLOOKUP(LEFT(A172,1),Teams,7,FALSE),FALSE))</f>
        <v>M50</v>
      </c>
      <c r="E172" s="26" t="str">
        <f>IF(A172="","",VLOOKUP(LEFT(A172,1),Teams,2,FALSE))</f>
        <v>Team Dorset</v>
      </c>
      <c r="F172" s="10" t="s">
        <v>197</v>
      </c>
      <c r="G172" s="43">
        <v>1</v>
      </c>
      <c r="H172" s="14"/>
      <c r="I172" s="35">
        <f>IF(OR(F172="",F172-VLOOKUP($A168,AWstandards,12,FALSE)&lt;0),0,INT(VLOOKUP($A168,AWstandards,11,FALSE)*(F172-VLOOKUP($A168,AWstandards,12,FALSE))^VLOOKUP($A168,AWstandards,13,FALSE)+0.5))</f>
        <v>443</v>
      </c>
      <c r="J172" s="32">
        <f>IF(F172="","",IF(F172-VLOOKUP($A168,AWstandards,VLOOKUP(D172,Age,2,FALSE),FALSE)&lt;0,"","aw"))</f>
      </c>
      <c r="K172" s="39">
        <f t="shared" si="26"/>
      </c>
      <c r="L172" s="39">
        <f t="shared" si="26"/>
      </c>
      <c r="M172" s="39">
        <f t="shared" si="26"/>
        <v>1</v>
      </c>
      <c r="N172" s="39">
        <f t="shared" si="26"/>
      </c>
      <c r="O172" s="39">
        <f>10-SUM(K169:N172)</f>
        <v>0</v>
      </c>
      <c r="P172" s="35"/>
      <c r="R172" t="s">
        <v>807</v>
      </c>
    </row>
    <row r="173" spans="1:16" ht="12.75">
      <c r="A173" s="106" t="s">
        <v>990</v>
      </c>
      <c r="B173" s="17"/>
      <c r="C173" s="27" t="s">
        <v>703</v>
      </c>
      <c r="D173" s="28"/>
      <c r="E173" s="29"/>
      <c r="F173" s="8"/>
      <c r="G173" s="42"/>
      <c r="H173" s="14"/>
      <c r="I173" s="35"/>
      <c r="J173" s="35"/>
      <c r="K173" s="39"/>
      <c r="L173" s="39"/>
      <c r="M173" s="39"/>
      <c r="N173" s="39"/>
      <c r="O173" s="39"/>
      <c r="P173" s="35" t="s">
        <v>936</v>
      </c>
    </row>
    <row r="174" spans="1:18" ht="12.75">
      <c r="A174" s="4" t="s">
        <v>322</v>
      </c>
      <c r="B174" s="107">
        <v>1</v>
      </c>
      <c r="C174" s="26" t="str">
        <f>IF(A174="","",VLOOKUP($A173,IF(LEN(A174)=2,MSB,MSA),VLOOKUP(LEFT(A174,1),Teams,6,FALSE),FALSE))</f>
        <v>Harry Kendal</v>
      </c>
      <c r="D174" s="26" t="str">
        <f>IF(A174="","",VLOOKUP($A173,IF(LEN(A174)=2,MSB,MSA),VLOOKUP(LEFT(A174,1),Teams,7,FALSE),FALSE))</f>
        <v>U20</v>
      </c>
      <c r="E174" s="26" t="str">
        <f>IF(A174="","",VLOOKUP(LEFT(A174,1),Teams,2,FALSE))</f>
        <v>Tonbridge</v>
      </c>
      <c r="F174" s="10" t="s">
        <v>198</v>
      </c>
      <c r="G174" s="43">
        <v>4</v>
      </c>
      <c r="H174" s="14"/>
      <c r="I174" s="35">
        <f>IF(OR(F174="",F174-VLOOKUP($A173,AWstandards,12,FALSE)&lt;0),0,INT(VLOOKUP($A173,AWstandards,11,FALSE)*(F174-VLOOKUP($A173,AWstandards,12,FALSE))^VLOOKUP($A173,AWstandards,13,FALSE)+0.5))</f>
        <v>631</v>
      </c>
      <c r="J174" s="32" t="str">
        <f>IF(F174="","",IF(F174-VLOOKUP($A173,AWstandards,VLOOKUP(D174,Age,2,FALSE),FALSE)&lt;0,"","aw"))</f>
        <v>aw</v>
      </c>
      <c r="K174" s="39">
        <f aca="true" t="shared" si="27" ref="K174:N177">IF($A174="","",IF(LEFT($A174,1)=K$8,$G174,""))</f>
      </c>
      <c r="L174" s="39">
        <f t="shared" si="27"/>
      </c>
      <c r="M174" s="39">
        <f t="shared" si="27"/>
      </c>
      <c r="N174" s="39">
        <f t="shared" si="27"/>
        <v>4</v>
      </c>
      <c r="O174" s="39"/>
      <c r="P174" s="35"/>
      <c r="R174" t="s">
        <v>807</v>
      </c>
    </row>
    <row r="175" spans="1:18" ht="12.75">
      <c r="A175" s="4" t="s">
        <v>313</v>
      </c>
      <c r="B175" s="107">
        <v>2</v>
      </c>
      <c r="C175" s="26" t="str">
        <f>IF(A175="","",VLOOKUP($A173,IF(LEN(A175)=2,MSB,MSA),VLOOKUP(LEFT(A175,1),Teams,6,FALSE),FALSE))</f>
        <v>Martin Lay</v>
      </c>
      <c r="D175" s="26" t="str">
        <f>IF(A175="","",VLOOKUP($A173,IF(LEN(A175)=2,MSB,MSA),VLOOKUP(LEFT(A175,1),Teams,7,FALSE),FALSE))</f>
        <v>U23</v>
      </c>
      <c r="E175" s="26" t="str">
        <f>IF(A175="","",VLOOKUP(LEFT(A175,1),Teams,2,FALSE))</f>
        <v>Epsom &amp; Ewell</v>
      </c>
      <c r="F175" s="10" t="s">
        <v>199</v>
      </c>
      <c r="G175" s="43">
        <v>3</v>
      </c>
      <c r="H175" s="14"/>
      <c r="I175" s="35">
        <f>IF(OR(F175="",F175-VLOOKUP($A173,AWstandards,12,FALSE)&lt;0),0,INT(VLOOKUP($A173,AWstandards,11,FALSE)*(F175-VLOOKUP($A173,AWstandards,12,FALSE))^VLOOKUP($A173,AWstandards,13,FALSE)+0.5))</f>
        <v>540</v>
      </c>
      <c r="J175" s="32">
        <f>IF(F175="","",IF(F175-VLOOKUP($A173,AWstandards,VLOOKUP(D175,Age,2,FALSE),FALSE)&lt;0,"","aw"))</f>
      </c>
      <c r="K175" s="39">
        <f t="shared" si="27"/>
        <v>3</v>
      </c>
      <c r="L175" s="39">
        <f t="shared" si="27"/>
      </c>
      <c r="M175" s="39">
        <f t="shared" si="27"/>
      </c>
      <c r="N175" s="39">
        <f t="shared" si="27"/>
      </c>
      <c r="O175" s="39"/>
      <c r="P175" s="35"/>
      <c r="R175" t="s">
        <v>807</v>
      </c>
    </row>
    <row r="176" spans="1:18" ht="12.75">
      <c r="A176" s="4" t="s">
        <v>321</v>
      </c>
      <c r="B176" s="107">
        <v>3</v>
      </c>
      <c r="C176" s="26" t="str">
        <f>IF(A176="","",VLOOKUP($A173,IF(LEN(A176)=2,MSB,MSA),VLOOKUP(LEFT(A176,1),Teams,6,FALSE),FALSE))</f>
        <v>Sam Cunningham</v>
      </c>
      <c r="D176" s="26" t="str">
        <f>IF(A176="","",VLOOKUP($A173,IF(LEN(A176)=2,MSB,MSA),VLOOKUP(LEFT(A176,1),Teams,7,FALSE),FALSE))</f>
        <v>U20</v>
      </c>
      <c r="E176" s="26" t="str">
        <f>IF(A176="","",VLOOKUP(LEFT(A176,1),Teams,2,FALSE))</f>
        <v>Crawley</v>
      </c>
      <c r="F176" s="10" t="s">
        <v>200</v>
      </c>
      <c r="G176" s="43">
        <v>2</v>
      </c>
      <c r="H176" s="14"/>
      <c r="I176" s="35">
        <f>IF(OR(F176="",F176-VLOOKUP($A173,AWstandards,12,FALSE)&lt;0),0,INT(VLOOKUP($A173,AWstandards,11,FALSE)*(F176-VLOOKUP($A173,AWstandards,12,FALSE))^VLOOKUP($A173,AWstandards,13,FALSE)+0.5))</f>
        <v>509</v>
      </c>
      <c r="J176" s="32">
        <f>IF(F176="","",IF(F176-VLOOKUP($A173,AWstandards,VLOOKUP(D176,Age,2,FALSE),FALSE)&lt;0,"","aw"))</f>
      </c>
      <c r="K176" s="39">
        <f t="shared" si="27"/>
      </c>
      <c r="L176" s="39">
        <f t="shared" si="27"/>
        <v>2</v>
      </c>
      <c r="M176" s="39">
        <f t="shared" si="27"/>
      </c>
      <c r="N176" s="39">
        <f t="shared" si="27"/>
      </c>
      <c r="O176" s="39"/>
      <c r="P176" s="35"/>
      <c r="R176" t="s">
        <v>807</v>
      </c>
    </row>
    <row r="177" spans="1:18" ht="12.75">
      <c r="A177" s="4"/>
      <c r="B177" s="107">
        <v>4</v>
      </c>
      <c r="C177" s="26">
        <f>IF(A177="","",VLOOKUP($A173,IF(LEN(A177)=2,MSB,MSA),VLOOKUP(LEFT(A177,1),Teams,6,FALSE),FALSE))</f>
      </c>
      <c r="D177" s="26">
        <f>IF(A177="","",VLOOKUP($A173,IF(LEN(A177)=2,MSB,MSA),VLOOKUP(LEFT(A177,1),Teams,7,FALSE),FALSE))</f>
      </c>
      <c r="E177" s="26">
        <f>IF(A177="","",VLOOKUP(LEFT(A177,1),Teams,2,FALSE))</f>
      </c>
      <c r="F177" s="10"/>
      <c r="G177" s="43">
        <v>1</v>
      </c>
      <c r="H177" s="14"/>
      <c r="I177" s="35">
        <f>IF(OR(F177="",F177-VLOOKUP($A173,AWstandards,12,FALSE)&lt;0),0,INT(VLOOKUP($A173,AWstandards,11,FALSE)*(F177-VLOOKUP($A173,AWstandards,12,FALSE))^VLOOKUP($A173,AWstandards,13,FALSE)+0.5))</f>
        <v>0</v>
      </c>
      <c r="J177" s="32">
        <f>IF(F177="","",IF(F177-VLOOKUP($A173,AWstandards,VLOOKUP(D177,Age,2,FALSE),FALSE)&lt;0,"","aw"))</f>
      </c>
      <c r="K177" s="39">
        <f t="shared" si="27"/>
      </c>
      <c r="L177" s="39">
        <f t="shared" si="27"/>
      </c>
      <c r="M177" s="39">
        <f t="shared" si="27"/>
      </c>
      <c r="N177" s="39">
        <f t="shared" si="27"/>
      </c>
      <c r="O177" s="39">
        <f>10-SUM(K174:N177)</f>
        <v>1</v>
      </c>
      <c r="P177" s="35"/>
      <c r="R177" t="s">
        <v>807</v>
      </c>
    </row>
    <row r="178" spans="1:16" ht="12.75">
      <c r="A178" s="106" t="s">
        <v>907</v>
      </c>
      <c r="B178" s="17"/>
      <c r="C178" s="27" t="s">
        <v>671</v>
      </c>
      <c r="D178" s="28"/>
      <c r="E178" s="29"/>
      <c r="F178" s="8"/>
      <c r="G178" s="42"/>
      <c r="H178" s="14"/>
      <c r="I178" s="35"/>
      <c r="J178" s="40"/>
      <c r="K178" s="39"/>
      <c r="L178" s="39"/>
      <c r="M178" s="39"/>
      <c r="N178" s="39"/>
      <c r="O178" s="39"/>
      <c r="P178" s="35" t="s">
        <v>907</v>
      </c>
    </row>
    <row r="179" spans="1:18" ht="12.75">
      <c r="A179" s="4" t="s">
        <v>315</v>
      </c>
      <c r="B179" s="107">
        <v>1</v>
      </c>
      <c r="C179" s="26" t="str">
        <f>IF(A179="","",VLOOKUP($A178,IF(LEN(A179)=2,MSB,MSA),VLOOKUP(LEFT(A179,1),Teams,6,FALSE),FALSE))</f>
        <v>Crawley</v>
      </c>
      <c r="D179" s="26" t="str">
        <f>IF(A179="","",VLOOKUP($A178,IF(LEN(A179)=2,MSB,MSA),VLOOKUP(LEFT(A179,1),Teams,7,FALSE),FALSE))</f>
        <v>SM</v>
      </c>
      <c r="E179" s="26"/>
      <c r="F179" s="10" t="s">
        <v>9</v>
      </c>
      <c r="G179" s="43">
        <v>4</v>
      </c>
      <c r="H179" s="14"/>
      <c r="I179" s="35">
        <f>IF(OR(F179="",F179-VLOOKUP($A178,AWstandards,12,FALSE)&gt;0),0,INT(VLOOKUP($A178,AWstandards,11,FALSE)*(VLOOKUP($A178,AWstandards,12,FALSE)-F179)^VLOOKUP($A178,AWstandards,13,FALSE)+0.5))</f>
        <v>491</v>
      </c>
      <c r="J179" s="32">
        <f>IF(F179="","",IF(F179-VLOOKUP($A178,AWstandards,VLOOKUP(D179,Age,2,FALSE),FALSE)&gt;0,"","aw"))</f>
      </c>
      <c r="K179" s="39">
        <f aca="true" t="shared" si="28" ref="K179:N182">IF($A179="","",IF(LEFT($A179,1)=K$8,$G179,""))</f>
      </c>
      <c r="L179" s="39">
        <f t="shared" si="28"/>
        <v>4</v>
      </c>
      <c r="M179" s="39">
        <f t="shared" si="28"/>
      </c>
      <c r="N179" s="39">
        <f t="shared" si="28"/>
      </c>
      <c r="O179" s="39"/>
      <c r="P179" s="35"/>
      <c r="R179" t="s">
        <v>801</v>
      </c>
    </row>
    <row r="180" spans="1:18" ht="12.75">
      <c r="A180" s="4" t="s">
        <v>327</v>
      </c>
      <c r="B180" s="107">
        <v>2</v>
      </c>
      <c r="C180" s="26" t="str">
        <f>IF(A180="","",VLOOKUP($A178,IF(LEN(A180)=2,MSB,MSA),VLOOKUP(LEFT(A180,1),Teams,6,FALSE),FALSE))</f>
        <v>Tonbridge</v>
      </c>
      <c r="D180" s="26" t="str">
        <f>IF(A180="","",VLOOKUP($A178,IF(LEN(A180)=2,MSB,MSA),VLOOKUP(LEFT(A180,1),Teams,7,FALSE),FALSE))</f>
        <v>SM</v>
      </c>
      <c r="E180" s="26"/>
      <c r="F180" s="10" t="s">
        <v>10</v>
      </c>
      <c r="G180" s="43">
        <v>3</v>
      </c>
      <c r="H180" s="14"/>
      <c r="I180" s="35">
        <f>IF(OR(F180="",F180-VLOOKUP($A178,AWstandards,12,FALSE)&gt;0),0,INT(VLOOKUP($A178,AWstandards,11,FALSE)*(VLOOKUP($A178,AWstandards,12,FALSE)-F180)^VLOOKUP($A178,AWstandards,13,FALSE)+0.5))</f>
        <v>314</v>
      </c>
      <c r="J180" s="32">
        <f>IF(F180="","",IF(F180-VLOOKUP($A178,AWstandards,VLOOKUP(D180,Age,2,FALSE),FALSE)&gt;0,"","aw"))</f>
      </c>
      <c r="K180" s="39">
        <f t="shared" si="28"/>
      </c>
      <c r="L180" s="39">
        <f t="shared" si="28"/>
      </c>
      <c r="M180" s="39">
        <f t="shared" si="28"/>
      </c>
      <c r="N180" s="39">
        <f t="shared" si="28"/>
        <v>3</v>
      </c>
      <c r="O180" s="39"/>
      <c r="P180" s="35"/>
      <c r="R180" t="s">
        <v>801</v>
      </c>
    </row>
    <row r="181" spans="1:18" ht="12.75">
      <c r="A181" s="4" t="s">
        <v>320</v>
      </c>
      <c r="B181" s="107">
        <v>3</v>
      </c>
      <c r="C181" s="26" t="str">
        <f>IF(A181="","",VLOOKUP($A178,IF(LEN(A181)=2,MSB,MSA),VLOOKUP(LEFT(A181,1),Teams,6,FALSE),FALSE))</f>
        <v>Team Dorset</v>
      </c>
      <c r="D181" s="26" t="str">
        <f>IF(A181="","",VLOOKUP($A178,IF(LEN(A181)=2,MSB,MSA),VLOOKUP(LEFT(A181,1),Teams,7,FALSE),FALSE))</f>
        <v>SM</v>
      </c>
      <c r="E181" s="26"/>
      <c r="F181" s="10" t="s">
        <v>11</v>
      </c>
      <c r="G181" s="43">
        <v>2</v>
      </c>
      <c r="H181" s="14"/>
      <c r="I181" s="35">
        <f>IF(OR(F181="",F181-VLOOKUP($A178,AWstandards,12,FALSE)&gt;0),0,INT(VLOOKUP($A178,AWstandards,11,FALSE)*(VLOOKUP($A178,AWstandards,12,FALSE)-F181)^VLOOKUP($A178,AWstandards,13,FALSE)+0.5))</f>
        <v>236</v>
      </c>
      <c r="J181" s="32">
        <f>IF(F181="","",IF(F181-VLOOKUP($A178,AWstandards,VLOOKUP(D181,Age,2,FALSE),FALSE)&gt;0,"","aw"))</f>
      </c>
      <c r="K181" s="39">
        <f t="shared" si="28"/>
      </c>
      <c r="L181" s="39">
        <f t="shared" si="28"/>
      </c>
      <c r="M181" s="39">
        <f t="shared" si="28"/>
        <v>2</v>
      </c>
      <c r="N181" s="39">
        <f t="shared" si="28"/>
      </c>
      <c r="O181" s="39"/>
      <c r="P181" s="35"/>
      <c r="R181" t="s">
        <v>801</v>
      </c>
    </row>
    <row r="182" spans="1:18" ht="12.75">
      <c r="A182" s="4" t="s">
        <v>312</v>
      </c>
      <c r="B182" s="107">
        <v>4</v>
      </c>
      <c r="C182" s="26" t="str">
        <f>IF(A182="","",VLOOKUP($A178,IF(LEN(A182)=2,MSB,MSA),VLOOKUP(LEFT(A182,1),Teams,6,FALSE),FALSE))</f>
        <v>Epsom &amp; Ewell</v>
      </c>
      <c r="D182" s="26" t="str">
        <f>IF(A182="","",VLOOKUP($A178,IF(LEN(A182)=2,MSB,MSA),VLOOKUP(LEFT(A182,1),Teams,7,FALSE),FALSE))</f>
        <v>SM</v>
      </c>
      <c r="E182" s="26"/>
      <c r="F182" s="10" t="s">
        <v>12</v>
      </c>
      <c r="G182" s="43">
        <v>1</v>
      </c>
      <c r="H182" s="14"/>
      <c r="I182" s="35">
        <f>IF(OR(F182="",F182-VLOOKUP($A178,AWstandards,12,FALSE)&gt;0),0,INT(VLOOKUP($A178,AWstandards,11,FALSE)*(VLOOKUP($A178,AWstandards,12,FALSE)-F182)^VLOOKUP($A178,AWstandards,13,FALSE)+0.5))</f>
        <v>71</v>
      </c>
      <c r="J182" s="32">
        <f>IF(F182="","",IF(F182-VLOOKUP($A178,AWstandards,VLOOKUP(D182,Age,2,FALSE),FALSE)&gt;0,"","aw"))</f>
      </c>
      <c r="K182" s="39">
        <f t="shared" si="28"/>
        <v>1</v>
      </c>
      <c r="L182" s="39">
        <f t="shared" si="28"/>
      </c>
      <c r="M182" s="39">
        <f t="shared" si="28"/>
      </c>
      <c r="N182" s="39">
        <f t="shared" si="28"/>
      </c>
      <c r="O182" s="39">
        <f>10-SUM(K179:N182)</f>
        <v>0</v>
      </c>
      <c r="P182" s="35"/>
      <c r="R182" t="s">
        <v>801</v>
      </c>
    </row>
    <row r="183" spans="1:16" ht="12.75">
      <c r="A183" s="106" t="s">
        <v>908</v>
      </c>
      <c r="B183" s="17"/>
      <c r="C183" s="27" t="s">
        <v>673</v>
      </c>
      <c r="D183" s="28"/>
      <c r="E183" s="29"/>
      <c r="F183" s="8"/>
      <c r="G183" s="42"/>
      <c r="H183" s="14"/>
      <c r="I183" s="35"/>
      <c r="J183" s="40"/>
      <c r="K183" s="39"/>
      <c r="L183" s="39"/>
      <c r="M183" s="39"/>
      <c r="N183" s="39"/>
      <c r="O183" s="39"/>
      <c r="P183" s="35" t="s">
        <v>908</v>
      </c>
    </row>
    <row r="184" spans="1:18" ht="12.75">
      <c r="A184" s="4" t="s">
        <v>315</v>
      </c>
      <c r="B184" s="107">
        <v>1</v>
      </c>
      <c r="C184" s="26" t="str">
        <f>IF(A184="","",VLOOKUP($A183,IF(LEN(A184)=2,MSB,MSA),VLOOKUP(LEFT(A184,1),Teams,6,FALSE),FALSE))</f>
        <v>Crawley</v>
      </c>
      <c r="D184" s="26" t="str">
        <f>IF(A184="","",VLOOKUP($A183,IF(LEN(A184)=2,MSB,MSA),VLOOKUP(LEFT(A184,1),Teams,7,FALSE),FALSE))</f>
        <v>SM</v>
      </c>
      <c r="E184" s="26"/>
      <c r="F184" s="10" t="s">
        <v>43</v>
      </c>
      <c r="G184" s="43">
        <v>4</v>
      </c>
      <c r="H184" s="14"/>
      <c r="I184" s="35">
        <f>IF(OR(F184="",TEXT(F184,"[s].0")-VLOOKUP($A183,AWstandards,12,FALSE)&gt;0),0,INT(VLOOKUP($A183,AWstandards,11,FALSE)*(VLOOKUP($A183,AWstandards,12,FALSE)-TEXT(F184,"[s].0"))^VLOOKUP($A183,AWstandards,13,FALSE)+0.5))</f>
        <v>521</v>
      </c>
      <c r="J184" s="32">
        <f>IF(F184="","",IF(F184-VLOOKUP($A183,AWstandards,VLOOKUP(D184,Age,2,FALSE),FALSE)&gt;0,"","aw"))</f>
      </c>
      <c r="K184" s="39">
        <f aca="true" t="shared" si="29" ref="K184:N187">IF($A184="","",IF(LEFT($A184,1)=K$8,$G184,""))</f>
      </c>
      <c r="L184" s="39">
        <f t="shared" si="29"/>
        <v>4</v>
      </c>
      <c r="M184" s="39">
        <f t="shared" si="29"/>
      </c>
      <c r="N184" s="39">
        <f t="shared" si="29"/>
      </c>
      <c r="O184" s="39"/>
      <c r="P184" s="35"/>
      <c r="R184" t="s">
        <v>802</v>
      </c>
    </row>
    <row r="185" spans="1:18" ht="12.75">
      <c r="A185" s="4" t="s">
        <v>327</v>
      </c>
      <c r="B185" s="107">
        <v>2</v>
      </c>
      <c r="C185" s="26" t="str">
        <f>IF(A185="","",VLOOKUP($A183,IF(LEN(A185)=2,MSB,MSA),VLOOKUP(LEFT(A185,1),Teams,6,FALSE),FALSE))</f>
        <v>Tonbridge</v>
      </c>
      <c r="D185" s="26" t="str">
        <f>IF(A185="","",VLOOKUP($A183,IF(LEN(A185)=2,MSB,MSA),VLOOKUP(LEFT(A185,1),Teams,7,FALSE),FALSE))</f>
        <v>SM</v>
      </c>
      <c r="E185" s="26"/>
      <c r="F185" s="10" t="s">
        <v>44</v>
      </c>
      <c r="G185" s="43">
        <v>3</v>
      </c>
      <c r="H185" s="14"/>
      <c r="I185" s="35">
        <f>IF(OR(F185="",TEXT(F185,"[s].0")-VLOOKUP($A183,AWstandards,12,FALSE)&gt;0),0,INT(VLOOKUP($A183,AWstandards,11,FALSE)*(VLOOKUP($A183,AWstandards,12,FALSE)-TEXT(F185,"[s].0"))^VLOOKUP($A183,AWstandards,13,FALSE)+0.5))</f>
        <v>385</v>
      </c>
      <c r="J185" s="32">
        <f>IF(F185="","",IF(F185-VLOOKUP($A183,AWstandards,VLOOKUP(D185,Age,2,FALSE),FALSE)&gt;0,"","aw"))</f>
      </c>
      <c r="K185" s="39">
        <f t="shared" si="29"/>
      </c>
      <c r="L185" s="39">
        <f t="shared" si="29"/>
      </c>
      <c r="M185" s="39">
        <f t="shared" si="29"/>
      </c>
      <c r="N185" s="39">
        <f t="shared" si="29"/>
        <v>3</v>
      </c>
      <c r="O185" s="39"/>
      <c r="P185" s="35"/>
      <c r="R185" t="s">
        <v>802</v>
      </c>
    </row>
    <row r="186" spans="1:18" ht="12.75">
      <c r="A186" s="4" t="s">
        <v>320</v>
      </c>
      <c r="B186" s="107">
        <v>3</v>
      </c>
      <c r="C186" s="26" t="str">
        <f>IF(A186="","",VLOOKUP($A183,IF(LEN(A186)=2,MSB,MSA),VLOOKUP(LEFT(A186,1),Teams,6,FALSE),FALSE))</f>
        <v>Team Dorset</v>
      </c>
      <c r="D186" s="26" t="str">
        <f>IF(A186="","",VLOOKUP($A183,IF(LEN(A186)=2,MSB,MSA),VLOOKUP(LEFT(A186,1),Teams,7,FALSE),FALSE))</f>
        <v>SM</v>
      </c>
      <c r="E186" s="26"/>
      <c r="F186" s="10" t="s">
        <v>45</v>
      </c>
      <c r="G186" s="43">
        <v>2</v>
      </c>
      <c r="H186" s="14"/>
      <c r="I186" s="35">
        <f>IF(OR(F186="",TEXT(F186,"[s].0")-VLOOKUP($A183,AWstandards,12,FALSE)&gt;0),0,INT(VLOOKUP($A183,AWstandards,11,FALSE)*(VLOOKUP($A183,AWstandards,12,FALSE)-TEXT(F186,"[s].0"))^VLOOKUP($A183,AWstandards,13,FALSE)+0.5))</f>
        <v>233</v>
      </c>
      <c r="J186" s="32">
        <f>IF(F186="","",IF(F186-VLOOKUP($A183,AWstandards,VLOOKUP(D186,Age,2,FALSE),FALSE)&gt;0,"","aw"))</f>
      </c>
      <c r="K186" s="39">
        <f t="shared" si="29"/>
      </c>
      <c r="L186" s="39">
        <f t="shared" si="29"/>
      </c>
      <c r="M186" s="39">
        <f t="shared" si="29"/>
        <v>2</v>
      </c>
      <c r="N186" s="39">
        <f t="shared" si="29"/>
      </c>
      <c r="O186" s="39"/>
      <c r="P186" s="35"/>
      <c r="R186" t="s">
        <v>802</v>
      </c>
    </row>
    <row r="187" spans="1:18" ht="12.75">
      <c r="A187" s="4" t="s">
        <v>312</v>
      </c>
      <c r="B187" s="107">
        <v>4</v>
      </c>
      <c r="C187" s="26" t="str">
        <f>IF(A187="","",VLOOKUP($A183,IF(LEN(A187)=2,MSB,MSA),VLOOKUP(LEFT(A187,1),Teams,6,FALSE),FALSE))</f>
        <v>Epsom &amp; Ewell</v>
      </c>
      <c r="D187" s="26" t="str">
        <f>IF(A187="","",VLOOKUP($A183,IF(LEN(A187)=2,MSB,MSA),VLOOKUP(LEFT(A187,1),Teams,7,FALSE),FALSE))</f>
        <v>SM</v>
      </c>
      <c r="E187" s="26"/>
      <c r="F187" s="10" t="s">
        <v>46</v>
      </c>
      <c r="G187" s="43">
        <v>1</v>
      </c>
      <c r="H187" s="14"/>
      <c r="I187" s="35">
        <f>IF(OR(F187="",TEXT(F187,"[s].0")-VLOOKUP($A183,AWstandards,12,FALSE)&gt;0),0,INT(VLOOKUP($A183,AWstandards,11,FALSE)*(VLOOKUP($A183,AWstandards,12,FALSE)-TEXT(F187,"[s].0"))^VLOOKUP($A183,AWstandards,13,FALSE)+0.5))</f>
        <v>175</v>
      </c>
      <c r="J187" s="32">
        <f>IF(F187="","",IF(F187-VLOOKUP($A183,AWstandards,VLOOKUP(D187,Age,2,FALSE),FALSE)&gt;0,"","aw"))</f>
      </c>
      <c r="K187" s="39">
        <f t="shared" si="29"/>
        <v>1</v>
      </c>
      <c r="L187" s="39">
        <f t="shared" si="29"/>
      </c>
      <c r="M187" s="39">
        <f t="shared" si="29"/>
      </c>
      <c r="N187" s="39">
        <f t="shared" si="29"/>
      </c>
      <c r="O187" s="39">
        <f>10-SUM(K184:N187)</f>
        <v>0</v>
      </c>
      <c r="P187" s="35"/>
      <c r="R187" t="s">
        <v>802</v>
      </c>
    </row>
    <row r="188" spans="1:16" ht="12.75">
      <c r="A188" s="105" t="s">
        <v>981</v>
      </c>
      <c r="B188" s="17"/>
      <c r="C188" s="21" t="s">
        <v>704</v>
      </c>
      <c r="D188" s="21" t="s">
        <v>963</v>
      </c>
      <c r="E188" s="93"/>
      <c r="F188" s="9"/>
      <c r="G188" s="42"/>
      <c r="H188" s="14"/>
      <c r="I188" s="35"/>
      <c r="J188" s="35"/>
      <c r="K188" s="38"/>
      <c r="L188" s="38"/>
      <c r="M188" s="38"/>
      <c r="N188" s="38"/>
      <c r="O188" s="39"/>
      <c r="P188" s="35" t="s">
        <v>909</v>
      </c>
    </row>
    <row r="189" spans="1:18" ht="12.75">
      <c r="A189" s="92" t="s">
        <v>315</v>
      </c>
      <c r="B189" s="109">
        <v>1</v>
      </c>
      <c r="C189" s="26" t="str">
        <f>IF(A189="","",VLOOKUP($A188,IF(LEN(A189)=2,WSB,WSA),VLOOKUP(LEFT(A189,1),Teams,6,FALSE),FALSE))</f>
        <v>Taiye Musa</v>
      </c>
      <c r="D189" s="26" t="str">
        <f>IF(A189="","",VLOOKUP($A188,IF(LEN(A189)=2,WSB,WSA),VLOOKUP(LEFT(A189,1),Teams,7,FALSE),FALSE))</f>
        <v>U20</v>
      </c>
      <c r="E189" s="26" t="str">
        <f>IF(A189="","",VLOOKUP(LEFT(A189,1),Teams,2,FALSE))</f>
        <v>Crawley</v>
      </c>
      <c r="F189" s="94" t="s">
        <v>1043</v>
      </c>
      <c r="G189" s="95">
        <v>4</v>
      </c>
      <c r="H189" s="14"/>
      <c r="I189" s="35">
        <f>IF(OR(F189="",F189-VLOOKUP($A188,WAWstandards,12,FALSE)&gt;0),0,INT(VLOOKUP($A188,WAWstandards,11,FALSE)*(VLOOKUP($A188,WAWstandards,12,FALSE)-F189)^VLOOKUP($A188,WAWstandards,13,FALSE)+0.5))</f>
        <v>686</v>
      </c>
      <c r="J189" s="32" t="str">
        <f>IF(F189="","",IF(F189-VLOOKUP($A188,WAWstandards,VLOOKUP(D189,Wage,2,FALSE),FALSE)&gt;0,"","aw"))</f>
        <v>aw</v>
      </c>
      <c r="K189" s="39">
        <f aca="true" t="shared" si="30" ref="K189:N192">IF($A189="","",IF(LEFT($A189,1)=K$8,$G189,""))</f>
      </c>
      <c r="L189" s="39">
        <f t="shared" si="30"/>
        <v>4</v>
      </c>
      <c r="M189" s="39">
        <f t="shared" si="30"/>
      </c>
      <c r="N189" s="39">
        <f t="shared" si="30"/>
      </c>
      <c r="O189" s="39"/>
      <c r="P189" s="35"/>
      <c r="R189" t="s">
        <v>792</v>
      </c>
    </row>
    <row r="190" spans="1:18" ht="12.75">
      <c r="A190" s="92" t="s">
        <v>327</v>
      </c>
      <c r="B190" s="109">
        <v>2</v>
      </c>
      <c r="C190" s="26" t="str">
        <f>IF(A190="","",VLOOKUP($A188,IF(LEN(A190)=2,WSB,WSA),VLOOKUP(LEFT(A190,1),Teams,6,FALSE),FALSE))</f>
        <v>Joanne Ware</v>
      </c>
      <c r="D190" s="26" t="str">
        <f>IF(A190="","",VLOOKUP($A188,IF(LEN(A190)=2,WSB,WSA),VLOOKUP(LEFT(A190,1),Teams,7,FALSE),FALSE))</f>
        <v>U20</v>
      </c>
      <c r="E190" s="26" t="str">
        <f>IF(A190="","",VLOOKUP(LEFT(A190,1),Teams,2,FALSE))</f>
        <v>Tonbridge</v>
      </c>
      <c r="F190" s="94" t="s">
        <v>748</v>
      </c>
      <c r="G190" s="95">
        <v>3</v>
      </c>
      <c r="H190" s="14"/>
      <c r="I190" s="35">
        <f>IF(OR(F190="",F190-VLOOKUP($A188,WAWstandards,12,FALSE)&gt;0),0,INT(VLOOKUP($A188,WAWstandards,11,FALSE)*(VLOOKUP($A188,WAWstandards,12,FALSE)-F190)^VLOOKUP($A188,WAWstandards,13,FALSE)+0.5))</f>
        <v>584</v>
      </c>
      <c r="J190" s="32" t="str">
        <f>IF(F190="","",IF(F190-VLOOKUP($A188,WAWstandards,VLOOKUP(D190,Wage,2,FALSE),FALSE)&gt;0,"","aw"))</f>
        <v>aw</v>
      </c>
      <c r="K190" s="39">
        <f t="shared" si="30"/>
      </c>
      <c r="L190" s="39">
        <f t="shared" si="30"/>
      </c>
      <c r="M190" s="39">
        <f t="shared" si="30"/>
      </c>
      <c r="N190" s="39">
        <f t="shared" si="30"/>
        <v>3</v>
      </c>
      <c r="O190" s="39"/>
      <c r="P190" s="35"/>
      <c r="R190" t="s">
        <v>792</v>
      </c>
    </row>
    <row r="191" spans="1:18" ht="12.75">
      <c r="A191" s="92" t="s">
        <v>320</v>
      </c>
      <c r="B191" s="109">
        <v>3</v>
      </c>
      <c r="C191" s="26" t="str">
        <f>IF(A191="","",VLOOKUP($A188,IF(LEN(A191)=2,WSB,WSA),VLOOKUP(LEFT(A191,1),Teams,6,FALSE),FALSE))</f>
        <v>Bobbie-louise-Gannon</v>
      </c>
      <c r="D191" s="26" t="str">
        <f>IF(A191="","",VLOOKUP($A188,IF(LEN(A191)=2,WSB,WSA),VLOOKUP(LEFT(A191,1),Teams,7,FALSE),FALSE))</f>
        <v>U17</v>
      </c>
      <c r="E191" s="26" t="str">
        <f>IF(A191="","",VLOOKUP(LEFT(A191,1),Teams,2,FALSE))</f>
        <v>Team Dorset</v>
      </c>
      <c r="F191" s="94" t="s">
        <v>751</v>
      </c>
      <c r="G191" s="95">
        <v>2</v>
      </c>
      <c r="H191" s="14"/>
      <c r="I191" s="35">
        <f>IF(OR(F191="",F191-VLOOKUP($A188,WAWstandards,12,FALSE)&gt;0),0,INT(VLOOKUP($A188,WAWstandards,11,FALSE)*(VLOOKUP($A188,WAWstandards,12,FALSE)-F191)^VLOOKUP($A188,WAWstandards,13,FALSE)+0.5))</f>
        <v>378</v>
      </c>
      <c r="J191" s="32">
        <f>IF(F191="","",IF(F191-VLOOKUP($A188,WAWstandards,VLOOKUP(D191,Wage,2,FALSE),FALSE)&gt;0,"","aw"))</f>
      </c>
      <c r="K191" s="39">
        <f t="shared" si="30"/>
      </c>
      <c r="L191" s="39">
        <f t="shared" si="30"/>
      </c>
      <c r="M191" s="39">
        <f t="shared" si="30"/>
        <v>2</v>
      </c>
      <c r="N191" s="39">
        <f t="shared" si="30"/>
      </c>
      <c r="O191" s="39"/>
      <c r="P191" s="35"/>
      <c r="R191" t="s">
        <v>792</v>
      </c>
    </row>
    <row r="192" spans="1:18" ht="12.75">
      <c r="A192" s="92" t="s">
        <v>312</v>
      </c>
      <c r="B192" s="109">
        <v>4</v>
      </c>
      <c r="C192" s="26" t="str">
        <f>IF(A192="","",VLOOKUP($A188,IF(LEN(A192)=2,WSB,WSA),VLOOKUP(LEFT(A192,1),Teams,6,FALSE),FALSE))</f>
        <v>Alex Potts</v>
      </c>
      <c r="D192" s="26" t="str">
        <f>IF(A192="","",VLOOKUP($A188,IF(LEN(A192)=2,WSB,WSA),VLOOKUP(LEFT(A192,1),Teams,7,FALSE),FALSE))</f>
        <v>U17</v>
      </c>
      <c r="E192" s="26" t="str">
        <f>IF(A192="","",VLOOKUP(LEFT(A192,1),Teams,2,FALSE))</f>
        <v>Epsom &amp; Ewell</v>
      </c>
      <c r="F192" s="94" t="s">
        <v>81</v>
      </c>
      <c r="G192" s="95">
        <v>1</v>
      </c>
      <c r="H192" s="14"/>
      <c r="I192" s="35">
        <f>IF(OR(F192="",F192-VLOOKUP($A188,WAWstandards,12,FALSE)&gt;0),0,INT(VLOOKUP($A188,WAWstandards,11,FALSE)*(VLOOKUP($A188,WAWstandards,12,FALSE)-F192)^VLOOKUP($A188,WAWstandards,13,FALSE)+0.5))</f>
        <v>348</v>
      </c>
      <c r="J192" s="32">
        <f>IF(F192="","",IF(F192-VLOOKUP($A188,WAWstandards,VLOOKUP(D192,Wage,2,FALSE),FALSE)&gt;0,"","aw"))</f>
      </c>
      <c r="K192" s="39">
        <f t="shared" si="30"/>
        <v>1</v>
      </c>
      <c r="L192" s="39">
        <f t="shared" si="30"/>
      </c>
      <c r="M192" s="39">
        <f t="shared" si="30"/>
      </c>
      <c r="N192" s="39">
        <f t="shared" si="30"/>
      </c>
      <c r="O192" s="39">
        <f>10-SUM(K189:N192)</f>
        <v>0</v>
      </c>
      <c r="P192" s="35"/>
      <c r="R192" t="s">
        <v>792</v>
      </c>
    </row>
    <row r="193" spans="1:16" ht="12.75">
      <c r="A193" s="105" t="s">
        <v>981</v>
      </c>
      <c r="B193" s="17"/>
      <c r="C193" s="27" t="s">
        <v>705</v>
      </c>
      <c r="D193" s="28" t="s">
        <v>963</v>
      </c>
      <c r="E193" s="93"/>
      <c r="F193" s="9"/>
      <c r="G193" s="42"/>
      <c r="H193" s="14"/>
      <c r="I193" s="35"/>
      <c r="J193" s="35"/>
      <c r="K193" s="39"/>
      <c r="L193" s="39"/>
      <c r="M193" s="39"/>
      <c r="N193" s="39"/>
      <c r="O193" s="39"/>
      <c r="P193" s="35" t="s">
        <v>910</v>
      </c>
    </row>
    <row r="194" spans="1:18" ht="12.75">
      <c r="A194" s="96" t="s">
        <v>322</v>
      </c>
      <c r="B194" s="109">
        <v>1</v>
      </c>
      <c r="C194" s="26" t="str">
        <f>IF(A194="","",VLOOKUP($A193,IF(LEN(A194)=2,WSB,WSA),VLOOKUP(LEFT(A194,1),Teams,6,FALSE),FALSE))</f>
        <v>Laura Baliman</v>
      </c>
      <c r="D194" s="26" t="str">
        <f>IF(A194="","",VLOOKUP($A193,IF(LEN(A194)=2,WSB,WSA),VLOOKUP(LEFT(A194,1),Teams,7,FALSE),FALSE))</f>
        <v>U17</v>
      </c>
      <c r="E194" s="26" t="str">
        <f>IF(A194="","",VLOOKUP(LEFT(A194,1),Teams,2,FALSE))</f>
        <v>Tonbridge</v>
      </c>
      <c r="F194" s="94" t="s">
        <v>82</v>
      </c>
      <c r="G194" s="95">
        <v>4</v>
      </c>
      <c r="H194" s="14"/>
      <c r="I194" s="35">
        <f>IF(OR(F194="",F194-VLOOKUP($A193,WAWstandards,12,FALSE)&gt;0),0,INT(VLOOKUP($A193,WAWstandards,11,FALSE)*(VLOOKUP($A193,WAWstandards,12,FALSE)-F194)^VLOOKUP($A193,WAWstandards,13,FALSE)+0.5))</f>
        <v>441</v>
      </c>
      <c r="J194" s="32">
        <f>IF(F194="","",IF(F194-VLOOKUP($A193,WAWstandards,VLOOKUP(D194,Wage,2,FALSE),FALSE)&gt;0,"","aw"))</f>
      </c>
      <c r="K194" s="39">
        <f aca="true" t="shared" si="31" ref="K194:N209">IF($A194="","",IF(LEFT($A194,1)=K$8,$G194,""))</f>
      </c>
      <c r="L194" s="39">
        <f t="shared" si="31"/>
      </c>
      <c r="M194" s="39">
        <f t="shared" si="31"/>
      </c>
      <c r="N194" s="39">
        <f t="shared" si="31"/>
        <v>4</v>
      </c>
      <c r="O194" s="39"/>
      <c r="P194" s="35"/>
      <c r="R194" t="s">
        <v>792</v>
      </c>
    </row>
    <row r="195" spans="1:18" ht="12.75">
      <c r="A195" s="96" t="s">
        <v>321</v>
      </c>
      <c r="B195" s="109">
        <v>2</v>
      </c>
      <c r="C195" s="26" t="str">
        <f>IF(A195="","",VLOOKUP($A193,IF(LEN(A195)=2,WSB,WSA),VLOOKUP(LEFT(A195,1),Teams,6,FALSE),FALSE))</f>
        <v>Libby Moody</v>
      </c>
      <c r="D195" s="26" t="str">
        <f>IF(A195="","",VLOOKUP($A193,IF(LEN(A195)=2,WSB,WSA),VLOOKUP(LEFT(A195,1),Teams,7,FALSE),FALSE))</f>
        <v>U17</v>
      </c>
      <c r="E195" s="26" t="str">
        <f>IF(A195="","",VLOOKUP(LEFT(A195,1),Teams,2,FALSE))</f>
        <v>Crawley</v>
      </c>
      <c r="F195" s="94" t="s">
        <v>83</v>
      </c>
      <c r="G195" s="95">
        <v>3</v>
      </c>
      <c r="H195" s="14"/>
      <c r="I195" s="35">
        <f>IF(OR(F195="",F195-VLOOKUP($A193,WAWstandards,12,FALSE)&gt;0),0,INT(VLOOKUP($A193,WAWstandards,11,FALSE)*(VLOOKUP($A193,WAWstandards,12,FALSE)-F195)^VLOOKUP($A193,WAWstandards,13,FALSE)+0.5))</f>
        <v>363</v>
      </c>
      <c r="J195" s="32">
        <f>IF(F195="","",IF(F195-VLOOKUP($A193,WAWstandards,VLOOKUP(D195,Wage,2,FALSE),FALSE)&gt;0,"","aw"))</f>
      </c>
      <c r="K195" s="39">
        <f t="shared" si="31"/>
      </c>
      <c r="L195" s="39">
        <f t="shared" si="31"/>
        <v>3</v>
      </c>
      <c r="M195" s="39">
        <f t="shared" si="31"/>
      </c>
      <c r="N195" s="39">
        <f t="shared" si="31"/>
      </c>
      <c r="O195" s="39"/>
      <c r="P195" s="35"/>
      <c r="R195" t="s">
        <v>792</v>
      </c>
    </row>
    <row r="196" spans="1:18" ht="12.75">
      <c r="A196" s="96" t="s">
        <v>313</v>
      </c>
      <c r="B196" s="109">
        <v>3</v>
      </c>
      <c r="C196" s="26" t="str">
        <f>IF(A196="","",VLOOKUP($A193,IF(LEN(A196)=2,WSB,WSA),VLOOKUP(LEFT(A196,1),Teams,6,FALSE),FALSE))</f>
        <v>Tamar Rennles</v>
      </c>
      <c r="D196" s="26" t="str">
        <f>IF(A196="","",VLOOKUP($A193,IF(LEN(A196)=2,WSB,WSA),VLOOKUP(LEFT(A196,1),Teams,7,FALSE),FALSE))</f>
        <v>U17</v>
      </c>
      <c r="E196" s="26" t="str">
        <f>IF(A196="","",VLOOKUP(LEFT(A196,1),Teams,2,FALSE))</f>
        <v>Epsom &amp; Ewell</v>
      </c>
      <c r="F196" s="94" t="s">
        <v>84</v>
      </c>
      <c r="G196" s="95">
        <v>2</v>
      </c>
      <c r="H196" s="14"/>
      <c r="I196" s="35">
        <f>IF(OR(F196="",F196-VLOOKUP($A193,WAWstandards,12,FALSE)&gt;0),0,INT(VLOOKUP($A193,WAWstandards,11,FALSE)*(VLOOKUP($A193,WAWstandards,12,FALSE)-F196)^VLOOKUP($A193,WAWstandards,13,FALSE)+0.5))</f>
        <v>294</v>
      </c>
      <c r="J196" s="32">
        <f>IF(F196="","",IF(F196-VLOOKUP($A193,WAWstandards,VLOOKUP(D196,Wage,2,FALSE),FALSE)&gt;0,"","aw"))</f>
      </c>
      <c r="K196" s="39">
        <f t="shared" si="31"/>
        <v>2</v>
      </c>
      <c r="L196" s="39">
        <f t="shared" si="31"/>
      </c>
      <c r="M196" s="39">
        <f t="shared" si="31"/>
      </c>
      <c r="N196" s="39">
        <f t="shared" si="31"/>
      </c>
      <c r="O196" s="39"/>
      <c r="P196" s="35"/>
      <c r="R196" t="s">
        <v>792</v>
      </c>
    </row>
    <row r="197" spans="1:18" ht="12.75">
      <c r="A197" s="96" t="s">
        <v>328</v>
      </c>
      <c r="B197" s="109">
        <v>4</v>
      </c>
      <c r="C197" s="26" t="str">
        <f>IF(A197="","",VLOOKUP($A193,IF(LEN(A197)=2,WSB,WSA),VLOOKUP(LEFT(A197,1),Teams,6,FALSE),FALSE))</f>
        <v>Maddy Williams </v>
      </c>
      <c r="D197" s="26" t="str">
        <f>IF(A197="","",VLOOKUP($A193,IF(LEN(A197)=2,WSB,WSA),VLOOKUP(LEFT(A197,1),Teams,7,FALSE),FALSE))</f>
        <v>U17</v>
      </c>
      <c r="E197" s="26" t="str">
        <f>IF(A197="","",VLOOKUP(LEFT(A197,1),Teams,2,FALSE))</f>
        <v>Team Dorset</v>
      </c>
      <c r="F197" s="94" t="s">
        <v>85</v>
      </c>
      <c r="G197" s="95">
        <v>1</v>
      </c>
      <c r="H197" s="14"/>
      <c r="I197" s="35">
        <f>IF(OR(F197="",F197-VLOOKUP($A193,WAWstandards,12,FALSE)&gt;0),0,INT(VLOOKUP($A193,WAWstandards,11,FALSE)*(VLOOKUP($A193,WAWstandards,12,FALSE)-F197)^VLOOKUP($A193,WAWstandards,13,FALSE)+0.5))</f>
        <v>233</v>
      </c>
      <c r="J197" s="32">
        <f>IF(F197="","",IF(F197-VLOOKUP($A193,WAWstandards,VLOOKUP(D197,Wage,2,FALSE),FALSE)&gt;0,"","aw"))</f>
      </c>
      <c r="K197" s="39">
        <f t="shared" si="31"/>
      </c>
      <c r="L197" s="39">
        <f t="shared" si="31"/>
      </c>
      <c r="M197" s="39">
        <f t="shared" si="31"/>
        <v>1</v>
      </c>
      <c r="N197" s="39">
        <f t="shared" si="31"/>
      </c>
      <c r="O197" s="39">
        <f>10-SUM(K194:N197)</f>
        <v>0</v>
      </c>
      <c r="P197" s="35"/>
      <c r="R197" t="s">
        <v>792</v>
      </c>
    </row>
    <row r="198" spans="1:16" ht="12.75">
      <c r="A198" s="105" t="s">
        <v>982</v>
      </c>
      <c r="B198" s="17"/>
      <c r="C198" s="28" t="s">
        <v>706</v>
      </c>
      <c r="D198" s="28" t="s">
        <v>963</v>
      </c>
      <c r="E198" s="93"/>
      <c r="F198" s="9"/>
      <c r="G198" s="42"/>
      <c r="H198" s="14"/>
      <c r="I198" s="35"/>
      <c r="J198" s="35"/>
      <c r="K198" s="39"/>
      <c r="L198" s="39"/>
      <c r="M198" s="39"/>
      <c r="N198" s="39"/>
      <c r="O198" s="39"/>
      <c r="P198" s="35" t="s">
        <v>911</v>
      </c>
    </row>
    <row r="199" spans="1:18" ht="12.75">
      <c r="A199" s="96" t="s">
        <v>327</v>
      </c>
      <c r="B199" s="109">
        <v>1</v>
      </c>
      <c r="C199" s="26" t="str">
        <f>IF(A199="","",VLOOKUP($A198,IF(LEN(A199)=2,WSB,WSA),VLOOKUP(LEFT(A199,1),Teams,6,FALSE),FALSE))</f>
        <v>Rose Hairs</v>
      </c>
      <c r="D199" s="26" t="str">
        <f>IF(A199="","",VLOOKUP($A198,IF(LEN(A199)=2,WSB,WSA),VLOOKUP(LEFT(A199,1),Teams,7,FALSE),FALSE))</f>
        <v>U20</v>
      </c>
      <c r="E199" s="26" t="str">
        <f>IF(A199="","",VLOOKUP(LEFT(A199,1),Teams,2,FALSE))</f>
        <v>Tonbridge</v>
      </c>
      <c r="F199" s="94" t="s">
        <v>1044</v>
      </c>
      <c r="G199" s="95">
        <v>4</v>
      </c>
      <c r="H199" s="14"/>
      <c r="I199" s="35">
        <f>IF(OR(F199="",F199-VLOOKUP($A198,WAWstandards,12,FALSE)&gt;0),0,INT(VLOOKUP($A198,WAWstandards,11,FALSE)*(VLOOKUP($A198,WAWstandards,12,FALSE)-F199)^VLOOKUP($A198,WAWstandards,13,FALSE)+0.5))</f>
        <v>705</v>
      </c>
      <c r="J199" s="32" t="str">
        <f>IF(F199="","",IF(F199-VLOOKUP($A198,WAWstandards,VLOOKUP(D199,Wage,2,FALSE),FALSE)&gt;0,"","aw"))</f>
        <v>aw</v>
      </c>
      <c r="K199" s="39">
        <f t="shared" si="31"/>
      </c>
      <c r="L199" s="39">
        <f t="shared" si="31"/>
      </c>
      <c r="M199" s="39">
        <f t="shared" si="31"/>
      </c>
      <c r="N199" s="39">
        <f t="shared" si="31"/>
        <v>4</v>
      </c>
      <c r="O199" s="39"/>
      <c r="P199" s="35"/>
      <c r="R199" t="s">
        <v>796</v>
      </c>
    </row>
    <row r="200" spans="1:18" ht="12.75">
      <c r="A200" s="96" t="s">
        <v>315</v>
      </c>
      <c r="B200" s="109">
        <v>2</v>
      </c>
      <c r="C200" s="26" t="str">
        <f>IF(A200="","",VLOOKUP($A198,IF(LEN(A200)=2,WSB,WSA),VLOOKUP(LEFT(A200,1),Teams,6,FALSE),FALSE))</f>
        <v>Taiye Musa</v>
      </c>
      <c r="D200" s="26" t="str">
        <f>IF(A200="","",VLOOKUP($A198,IF(LEN(A200)=2,WSB,WSA),VLOOKUP(LEFT(A200,1),Teams,7,FALSE),FALSE))</f>
        <v>U20</v>
      </c>
      <c r="E200" s="26" t="str">
        <f>IF(A200="","",VLOOKUP(LEFT(A200,1),Teams,2,FALSE))</f>
        <v>Crawley</v>
      </c>
      <c r="F200" s="94" t="s">
        <v>187</v>
      </c>
      <c r="G200" s="95">
        <v>3</v>
      </c>
      <c r="H200" s="14"/>
      <c r="I200" s="35">
        <f>IF(OR(F200="",F200-VLOOKUP($A198,WAWstandards,12,FALSE)&gt;0),0,INT(VLOOKUP($A198,WAWstandards,11,FALSE)*(VLOOKUP($A198,WAWstandards,12,FALSE)-F200)^VLOOKUP($A198,WAWstandards,13,FALSE)+0.5))</f>
        <v>617</v>
      </c>
      <c r="J200" s="32" t="str">
        <f>IF(F200="","",IF(F200-VLOOKUP($A198,WAWstandards,VLOOKUP(D200,Wage,2,FALSE),FALSE)&gt;0,"","aw"))</f>
        <v>aw</v>
      </c>
      <c r="K200" s="39">
        <f t="shared" si="31"/>
      </c>
      <c r="L200" s="39">
        <f t="shared" si="31"/>
        <v>3</v>
      </c>
      <c r="M200" s="39">
        <f t="shared" si="31"/>
      </c>
      <c r="N200" s="39">
        <f t="shared" si="31"/>
      </c>
      <c r="O200" s="39"/>
      <c r="P200" s="35"/>
      <c r="R200" t="s">
        <v>796</v>
      </c>
    </row>
    <row r="201" spans="1:18" ht="12.75">
      <c r="A201" s="96" t="s">
        <v>320</v>
      </c>
      <c r="B201" s="109">
        <v>3</v>
      </c>
      <c r="C201" s="26" t="str">
        <f>IF(A201="","",VLOOKUP($A198,IF(LEN(A201)=2,WSB,WSA),VLOOKUP(LEFT(A201,1),Teams,6,FALSE),FALSE))</f>
        <v>Charlotte Offer</v>
      </c>
      <c r="D201" s="26" t="str">
        <f>IF(A201="","",VLOOKUP($A198,IF(LEN(A201)=2,WSB,WSA),VLOOKUP(LEFT(A201,1),Teams,7,FALSE),FALSE))</f>
        <v>U17</v>
      </c>
      <c r="E201" s="26" t="str">
        <f>IF(A201="","",VLOOKUP(LEFT(A201,1),Teams,2,FALSE))</f>
        <v>Team Dorset</v>
      </c>
      <c r="F201" s="94" t="s">
        <v>188</v>
      </c>
      <c r="G201" s="95">
        <v>2</v>
      </c>
      <c r="H201" s="14"/>
      <c r="I201" s="35">
        <f>IF(OR(F201="",F201-VLOOKUP($A198,WAWstandards,12,FALSE)&gt;0),0,INT(VLOOKUP($A198,WAWstandards,11,FALSE)*(VLOOKUP($A198,WAWstandards,12,FALSE)-F201)^VLOOKUP($A198,WAWstandards,13,FALSE)+0.5))</f>
        <v>375</v>
      </c>
      <c r="J201" s="32">
        <f>IF(F201="","",IF(F201-VLOOKUP($A198,WAWstandards,VLOOKUP(D201,Wage,2,FALSE),FALSE)&gt;0,"","aw"))</f>
      </c>
      <c r="K201" s="39">
        <f t="shared" si="31"/>
      </c>
      <c r="L201" s="39">
        <f t="shared" si="31"/>
      </c>
      <c r="M201" s="39">
        <f t="shared" si="31"/>
        <v>2</v>
      </c>
      <c r="N201" s="39">
        <f t="shared" si="31"/>
      </c>
      <c r="O201" s="39"/>
      <c r="P201" s="35"/>
      <c r="R201" t="s">
        <v>796</v>
      </c>
    </row>
    <row r="202" spans="1:18" ht="12.75">
      <c r="A202" s="96" t="s">
        <v>312</v>
      </c>
      <c r="B202" s="109">
        <v>4</v>
      </c>
      <c r="C202" s="26" t="str">
        <f>IF(A202="","",VLOOKUP($A198,IF(LEN(A202)=2,WSB,WSA),VLOOKUP(LEFT(A202,1),Teams,6,FALSE),FALSE))</f>
        <v>Alex Potts</v>
      </c>
      <c r="D202" s="26" t="str">
        <f>IF(A202="","",VLOOKUP($A198,IF(LEN(A202)=2,WSB,WSA),VLOOKUP(LEFT(A202,1),Teams,7,FALSE),FALSE))</f>
        <v>U17</v>
      </c>
      <c r="E202" s="26" t="str">
        <f>IF(A202="","",VLOOKUP(LEFT(A202,1),Teams,2,FALSE))</f>
        <v>Epsom &amp; Ewell</v>
      </c>
      <c r="F202" s="94" t="s">
        <v>189</v>
      </c>
      <c r="G202" s="95">
        <v>1</v>
      </c>
      <c r="H202" s="14"/>
      <c r="I202" s="35">
        <f>IF(OR(F202="",F202-VLOOKUP($A198,WAWstandards,12,FALSE)&gt;0),0,INT(VLOOKUP($A198,WAWstandards,11,FALSE)*(VLOOKUP($A198,WAWstandards,12,FALSE)-F202)^VLOOKUP($A198,WAWstandards,13,FALSE)+0.5))</f>
        <v>355</v>
      </c>
      <c r="J202" s="32">
        <f>IF(F202="","",IF(F202-VLOOKUP($A198,WAWstandards,VLOOKUP(D202,Wage,2,FALSE),FALSE)&gt;0,"","aw"))</f>
      </c>
      <c r="K202" s="39">
        <f t="shared" si="31"/>
        <v>1</v>
      </c>
      <c r="L202" s="39">
        <f t="shared" si="31"/>
      </c>
      <c r="M202" s="39">
        <f t="shared" si="31"/>
      </c>
      <c r="N202" s="39">
        <f t="shared" si="31"/>
      </c>
      <c r="O202" s="39">
        <f>10-SUM(K199:N202)</f>
        <v>0</v>
      </c>
      <c r="P202" s="35"/>
      <c r="R202" t="s">
        <v>796</v>
      </c>
    </row>
    <row r="203" spans="1:16" ht="12.75">
      <c r="A203" s="105" t="s">
        <v>982</v>
      </c>
      <c r="B203" s="17"/>
      <c r="C203" s="27" t="s">
        <v>707</v>
      </c>
      <c r="D203" s="28" t="s">
        <v>963</v>
      </c>
      <c r="E203" s="93"/>
      <c r="F203" s="9"/>
      <c r="G203" s="42"/>
      <c r="H203" s="14"/>
      <c r="I203" s="35"/>
      <c r="J203" s="35"/>
      <c r="K203" s="39"/>
      <c r="L203" s="39"/>
      <c r="M203" s="39"/>
      <c r="N203" s="39"/>
      <c r="O203" s="39"/>
      <c r="P203" s="35" t="s">
        <v>912</v>
      </c>
    </row>
    <row r="204" spans="1:18" ht="12.75">
      <c r="A204" s="96" t="s">
        <v>322</v>
      </c>
      <c r="B204" s="109">
        <v>1</v>
      </c>
      <c r="C204" s="26" t="str">
        <f>IF(A204="","",VLOOKUP($A203,IF(LEN(A204)=2,WSB,WSA),VLOOKUP(LEFT(A204,1),Teams,6,FALSE),FALSE))</f>
        <v>Jessica Murphy</v>
      </c>
      <c r="D204" s="26" t="str">
        <f>IF(A204="","",VLOOKUP($A203,IF(LEN(A204)=2,WSB,WSA),VLOOKUP(LEFT(A204,1),Teams,7,FALSE),FALSE))</f>
        <v>U20</v>
      </c>
      <c r="E204" s="26" t="str">
        <f>IF(A204="","",VLOOKUP(LEFT(A204,1),Teams,2,FALSE))</f>
        <v>Tonbridge</v>
      </c>
      <c r="F204" s="94" t="s">
        <v>756</v>
      </c>
      <c r="G204" s="95">
        <v>4</v>
      </c>
      <c r="H204" s="14"/>
      <c r="I204" s="35">
        <f>IF(OR(F204="",F204-VLOOKUP($A203,WAWstandards,12,FALSE)&gt;0),0,INT(VLOOKUP($A203,WAWstandards,11,FALSE)*(VLOOKUP($A203,WAWstandards,12,FALSE)-F204)^VLOOKUP($A203,WAWstandards,13,FALSE)+0.5))</f>
        <v>589</v>
      </c>
      <c r="J204" s="32" t="str">
        <f>IF(F204="","",IF(F204-VLOOKUP($A203,WAWstandards,VLOOKUP(D204,Wage,2,FALSE),FALSE)&gt;0,"","aw"))</f>
        <v>aw</v>
      </c>
      <c r="K204" s="39">
        <f t="shared" si="31"/>
      </c>
      <c r="L204" s="39">
        <f t="shared" si="31"/>
      </c>
      <c r="M204" s="39">
        <f t="shared" si="31"/>
      </c>
      <c r="N204" s="39">
        <f t="shared" si="31"/>
        <v>4</v>
      </c>
      <c r="O204" s="39"/>
      <c r="P204" s="35"/>
      <c r="R204" t="s">
        <v>796</v>
      </c>
    </row>
    <row r="205" spans="1:18" ht="12.75">
      <c r="A205" s="96" t="s">
        <v>321</v>
      </c>
      <c r="B205" s="109">
        <v>2</v>
      </c>
      <c r="C205" s="26" t="str">
        <f>IF(A205="","",VLOOKUP($A203,IF(LEN(A205)=2,WSB,WSA),VLOOKUP(LEFT(A205,1),Teams,6,FALSE),FALSE))</f>
        <v>Alina Cheeseman</v>
      </c>
      <c r="D205" s="26" t="str">
        <f>IF(A205="","",VLOOKUP($A203,IF(LEN(A205)=2,WSB,WSA),VLOOKUP(LEFT(A205,1),Teams,7,FALSE),FALSE))</f>
        <v>U23</v>
      </c>
      <c r="E205" s="26" t="str">
        <f>IF(A205="","",VLOOKUP(LEFT(A205,1),Teams,2,FALSE))</f>
        <v>Crawley</v>
      </c>
      <c r="F205" s="94" t="s">
        <v>190</v>
      </c>
      <c r="G205" s="95">
        <v>3</v>
      </c>
      <c r="H205" s="14"/>
      <c r="I205" s="35">
        <f>IF(OR(F205="",F205-VLOOKUP($A203,WAWstandards,12,FALSE)&gt;0),0,INT(VLOOKUP($A203,WAWstandards,11,FALSE)*(VLOOKUP($A203,WAWstandards,12,FALSE)-F205)^VLOOKUP($A203,WAWstandards,13,FALSE)+0.5))</f>
        <v>462</v>
      </c>
      <c r="J205" s="32">
        <f>IF(F205="","",IF(F205-VLOOKUP($A203,WAWstandards,VLOOKUP(D205,Wage,2,FALSE),FALSE)&gt;0,"","aw"))</f>
      </c>
      <c r="K205" s="39">
        <f t="shared" si="31"/>
      </c>
      <c r="L205" s="39">
        <f t="shared" si="31"/>
        <v>3</v>
      </c>
      <c r="M205" s="39">
        <f t="shared" si="31"/>
      </c>
      <c r="N205" s="39">
        <f t="shared" si="31"/>
      </c>
      <c r="O205" s="39"/>
      <c r="P205" s="35"/>
      <c r="R205" t="s">
        <v>796</v>
      </c>
    </row>
    <row r="206" spans="1:18" ht="12.75">
      <c r="A206" s="96" t="s">
        <v>313</v>
      </c>
      <c r="B206" s="109">
        <v>3</v>
      </c>
      <c r="C206" s="26" t="str">
        <f>IF(A206="","",VLOOKUP($A203,IF(LEN(A206)=2,WSB,WSA),VLOOKUP(LEFT(A206,1),Teams,6,FALSE),FALSE))</f>
        <v>Tamar Rennles</v>
      </c>
      <c r="D206" s="26" t="str">
        <f>IF(A206="","",VLOOKUP($A203,IF(LEN(A206)=2,WSB,WSA),VLOOKUP(LEFT(A206,1),Teams,7,FALSE),FALSE))</f>
        <v>U17</v>
      </c>
      <c r="E206" s="26" t="str">
        <f>IF(A206="","",VLOOKUP(LEFT(A206,1),Teams,2,FALSE))</f>
        <v>Epsom &amp; Ewell</v>
      </c>
      <c r="F206" s="94" t="s">
        <v>191</v>
      </c>
      <c r="G206" s="95">
        <v>2</v>
      </c>
      <c r="H206" s="14"/>
      <c r="I206" s="35">
        <f>IF(OR(F206="",F206-VLOOKUP($A203,WAWstandards,12,FALSE)&gt;0),0,INT(VLOOKUP($A203,WAWstandards,11,FALSE)*(VLOOKUP($A203,WAWstandards,12,FALSE)-F206)^VLOOKUP($A203,WAWstandards,13,FALSE)+0.5))</f>
        <v>287</v>
      </c>
      <c r="J206" s="32">
        <f>IF(F206="","",IF(F206-VLOOKUP($A203,WAWstandards,VLOOKUP(D206,Wage,2,FALSE),FALSE)&gt;0,"","aw"))</f>
      </c>
      <c r="K206" s="39">
        <f t="shared" si="31"/>
        <v>2</v>
      </c>
      <c r="L206" s="39">
        <f t="shared" si="31"/>
      </c>
      <c r="M206" s="39">
        <f t="shared" si="31"/>
      </c>
      <c r="N206" s="39">
        <f t="shared" si="31"/>
      </c>
      <c r="O206" s="39"/>
      <c r="P206" s="35"/>
      <c r="R206" t="s">
        <v>796</v>
      </c>
    </row>
    <row r="207" spans="1:18" ht="12.75">
      <c r="A207" s="96" t="s">
        <v>328</v>
      </c>
      <c r="B207" s="109" t="s">
        <v>975</v>
      </c>
      <c r="C207" s="26" t="str">
        <f>IF(A207="","",VLOOKUP($A203,IF(LEN(A207)=2,WSB,WSA),VLOOKUP(LEFT(A207,1),Teams,6,FALSE),FALSE))</f>
        <v>Trudi Carter</v>
      </c>
      <c r="D207" s="26" t="str">
        <f>IF(A207="","",VLOOKUP($A203,IF(LEN(A207)=2,WSB,WSA),VLOOKUP(LEFT(A207,1),Teams,7,FALSE),FALSE))</f>
        <v>W40</v>
      </c>
      <c r="E207" s="26" t="str">
        <f>IF(A207="","",VLOOKUP(LEFT(A207,1),Teams,2,FALSE))</f>
        <v>Team Dorset</v>
      </c>
      <c r="F207" s="94" t="s">
        <v>758</v>
      </c>
      <c r="G207" s="95">
        <v>1</v>
      </c>
      <c r="H207" s="14"/>
      <c r="I207" s="35">
        <f>IF(OR(F207="",F207-VLOOKUP($A203,WAWstandards,12,FALSE)&gt;0),0,INT(VLOOKUP($A203,WAWstandards,11,FALSE)*(VLOOKUP($A203,WAWstandards,12,FALSE)-F207)^VLOOKUP($A203,WAWstandards,13,FALSE)+0.5))</f>
        <v>248</v>
      </c>
      <c r="J207" s="32">
        <f>IF(F207="","",IF(F207-VLOOKUP($A203,WAWstandards,VLOOKUP(D207,Wage,2,FALSE),FALSE)&gt;0,"","aw"))</f>
      </c>
      <c r="K207" s="39">
        <f t="shared" si="31"/>
      </c>
      <c r="L207" s="39">
        <f t="shared" si="31"/>
      </c>
      <c r="M207" s="39">
        <f t="shared" si="31"/>
        <v>1</v>
      </c>
      <c r="N207" s="39">
        <f t="shared" si="31"/>
      </c>
      <c r="O207" s="39">
        <f>10-SUM(K204:N207)</f>
        <v>0</v>
      </c>
      <c r="P207" s="35"/>
      <c r="R207" t="s">
        <v>796</v>
      </c>
    </row>
    <row r="208" spans="1:16" ht="12.75">
      <c r="A208" s="105" t="s">
        <v>983</v>
      </c>
      <c r="B208" s="17"/>
      <c r="C208" s="28" t="s">
        <v>708</v>
      </c>
      <c r="D208" s="28"/>
      <c r="E208" s="29"/>
      <c r="F208" s="9"/>
      <c r="G208" s="42"/>
      <c r="H208" s="14"/>
      <c r="I208" s="35"/>
      <c r="J208" s="35"/>
      <c r="K208" s="39"/>
      <c r="L208" s="39"/>
      <c r="M208" s="39"/>
      <c r="N208" s="39"/>
      <c r="O208" s="39"/>
      <c r="P208" s="35" t="s">
        <v>913</v>
      </c>
    </row>
    <row r="209" spans="1:18" ht="12.75">
      <c r="A209" s="97" t="s">
        <v>312</v>
      </c>
      <c r="B209" s="109">
        <v>1</v>
      </c>
      <c r="C209" s="26" t="str">
        <f>IF(A209="","",VLOOKUP($A208,IF(LEN(A209)=2,WSB,WSA),VLOOKUP(LEFT(A209,1),Teams,6,FALSE),FALSE))</f>
        <v>Diana Norman</v>
      </c>
      <c r="D209" s="26" t="str">
        <f>IF(A209="","",VLOOKUP($A208,IF(LEN(A209)=2,WSB,WSA),VLOOKUP(LEFT(A209,1),Teams,7,FALSE),FALSE))</f>
        <v>W40</v>
      </c>
      <c r="E209" s="26" t="str">
        <f>IF(A209="","",VLOOKUP(LEFT(A209,1),Teams,2,FALSE))</f>
        <v>Epsom &amp; Ewell</v>
      </c>
      <c r="F209" s="94" t="s">
        <v>110</v>
      </c>
      <c r="G209" s="95">
        <v>4</v>
      </c>
      <c r="H209" s="14"/>
      <c r="I209" s="35">
        <f>IF(OR(F209="",F209-VLOOKUP($A208,WAWstandards,12,FALSE)&gt;0),0,INT(VLOOKUP($A208,WAWstandards,11,FALSE)*(VLOOKUP($A208,WAWstandards,12,FALSE)-F209)^VLOOKUP($A208,WAWstandards,13,FALSE)+0.5))</f>
        <v>728</v>
      </c>
      <c r="J209" s="32" t="str">
        <f>IF(F209="","",IF(F209-VLOOKUP($A208,WAWstandards,VLOOKUP(D209,Wage,2,FALSE),FALSE)&gt;0,"","aw"))</f>
        <v>aw</v>
      </c>
      <c r="K209" s="39">
        <f t="shared" si="31"/>
        <v>4</v>
      </c>
      <c r="L209" s="39">
        <f t="shared" si="31"/>
      </c>
      <c r="M209" s="39">
        <f t="shared" si="31"/>
      </c>
      <c r="N209" s="39">
        <f t="shared" si="31"/>
      </c>
      <c r="O209" s="39"/>
      <c r="P209" s="35"/>
      <c r="R209" t="s">
        <v>799</v>
      </c>
    </row>
    <row r="210" spans="1:18" ht="12.75">
      <c r="A210" s="97" t="s">
        <v>327</v>
      </c>
      <c r="B210" s="109">
        <v>2</v>
      </c>
      <c r="C210" s="26" t="str">
        <f>IF(A210="","",VLOOKUP($A208,IF(LEN(A210)=2,WSB,WSA),VLOOKUP(LEFT(A210,1),Teams,6,FALSE),FALSE))</f>
        <v>Jessica Murphy</v>
      </c>
      <c r="D210" s="26" t="str">
        <f>IF(A210="","",VLOOKUP($A208,IF(LEN(A210)=2,WSB,WSA),VLOOKUP(LEFT(A210,1),Teams,7,FALSE),FALSE))</f>
        <v>U20</v>
      </c>
      <c r="E210" s="26" t="str">
        <f>IF(A210="","",VLOOKUP(LEFT(A210,1),Teams,2,FALSE))</f>
        <v>Tonbridge</v>
      </c>
      <c r="F210" s="94" t="s">
        <v>111</v>
      </c>
      <c r="G210" s="95">
        <v>3</v>
      </c>
      <c r="H210" s="14"/>
      <c r="I210" s="35">
        <f>IF(OR(F210="",F210-VLOOKUP($A208,WAWstandards,12,FALSE)&gt;0),0,INT(VLOOKUP($A208,WAWstandards,11,FALSE)*(VLOOKUP($A208,WAWstandards,12,FALSE)-F210)^VLOOKUP($A208,WAWstandards,13,FALSE)+0.5))</f>
        <v>658</v>
      </c>
      <c r="J210" s="32" t="str">
        <f>IF(F210="","",IF(F210-VLOOKUP($A208,WAWstandards,VLOOKUP(D210,Wage,2,FALSE),FALSE)&gt;0,"","aw"))</f>
        <v>aw</v>
      </c>
      <c r="K210" s="39">
        <f aca="true" t="shared" si="32" ref="K210:N212">IF($A210="","",IF(LEFT($A210,1)=K$8,$G210,""))</f>
      </c>
      <c r="L210" s="39">
        <f t="shared" si="32"/>
      </c>
      <c r="M210" s="39">
        <f t="shared" si="32"/>
      </c>
      <c r="N210" s="39">
        <f t="shared" si="32"/>
        <v>3</v>
      </c>
      <c r="O210" s="39"/>
      <c r="P210" s="35"/>
      <c r="R210" t="s">
        <v>799</v>
      </c>
    </row>
    <row r="211" spans="1:18" ht="12.75">
      <c r="A211" s="97" t="s">
        <v>315</v>
      </c>
      <c r="B211" s="109">
        <v>3</v>
      </c>
      <c r="C211" s="26" t="str">
        <f>IF(A211="","",VLOOKUP($A208,IF(LEN(A211)=2,WSB,WSA),VLOOKUP(LEFT(A211,1),Teams,6,FALSE),FALSE))</f>
        <v>Paige Clark</v>
      </c>
      <c r="D211" s="26" t="str">
        <f>IF(A211="","",VLOOKUP($A208,IF(LEN(A211)=2,WSB,WSA),VLOOKUP(LEFT(A211,1),Teams,7,FALSE),FALSE))</f>
        <v>U20</v>
      </c>
      <c r="E211" s="26" t="str">
        <f>IF(A211="","",VLOOKUP(LEFT(A211,1),Teams,2,FALSE))</f>
        <v>Crawley</v>
      </c>
      <c r="F211" s="94" t="s">
        <v>112</v>
      </c>
      <c r="G211" s="95">
        <v>2</v>
      </c>
      <c r="H211" s="14"/>
      <c r="I211" s="35">
        <f>IF(OR(F211="",F211-VLOOKUP($A208,WAWstandards,12,FALSE)&gt;0),0,INT(VLOOKUP($A208,WAWstandards,11,FALSE)*(VLOOKUP($A208,WAWstandards,12,FALSE)-F211)^VLOOKUP($A208,WAWstandards,13,FALSE)+0.5))</f>
        <v>554</v>
      </c>
      <c r="J211" s="32" t="str">
        <f>IF(F211="","",IF(F211-VLOOKUP($A208,WAWstandards,VLOOKUP(D211,Wage,2,FALSE),FALSE)&gt;0,"","aw"))</f>
        <v>aw</v>
      </c>
      <c r="K211" s="39">
        <f t="shared" si="32"/>
      </c>
      <c r="L211" s="39">
        <f t="shared" si="32"/>
        <v>2</v>
      </c>
      <c r="M211" s="39">
        <f t="shared" si="32"/>
      </c>
      <c r="N211" s="39">
        <f t="shared" si="32"/>
      </c>
      <c r="O211" s="39"/>
      <c r="P211" s="35"/>
      <c r="R211" t="s">
        <v>799</v>
      </c>
    </row>
    <row r="212" spans="1:18" ht="12.75">
      <c r="A212" s="97" t="s">
        <v>320</v>
      </c>
      <c r="B212" s="109">
        <v>4</v>
      </c>
      <c r="C212" s="26" t="str">
        <f>IF(A212="","",VLOOKUP($A208,IF(LEN(A212)=2,WSB,WSA),VLOOKUP(LEFT(A212,1),Teams,6,FALSE),FALSE))</f>
        <v>Hanna Westhenry</v>
      </c>
      <c r="D212" s="26" t="str">
        <f>IF(A212="","",VLOOKUP($A208,IF(LEN(A212)=2,WSB,WSA),VLOOKUP(LEFT(A212,1),Teams,7,FALSE),FALSE))</f>
        <v>U17</v>
      </c>
      <c r="E212" s="26" t="str">
        <f>IF(A212="","",VLOOKUP(LEFT(A212,1),Teams,2,FALSE))</f>
        <v>Team Dorset</v>
      </c>
      <c r="F212" s="94" t="s">
        <v>113</v>
      </c>
      <c r="G212" s="95">
        <v>1</v>
      </c>
      <c r="H212" s="14"/>
      <c r="I212" s="35">
        <f>IF(OR(F212="",F212-VLOOKUP($A208,WAWstandards,12,FALSE)&gt;0),0,INT(VLOOKUP($A208,WAWstandards,11,FALSE)*(VLOOKUP($A208,WAWstandards,12,FALSE)-F212)^VLOOKUP($A208,WAWstandards,13,FALSE)+0.5))</f>
        <v>377</v>
      </c>
      <c r="J212" s="32">
        <f>IF(F212="","",IF(F212-VLOOKUP($A208,WAWstandards,VLOOKUP(D212,Wage,2,FALSE),FALSE)&gt;0,"","aw"))</f>
      </c>
      <c r="K212" s="39">
        <f t="shared" si="32"/>
      </c>
      <c r="L212" s="39">
        <f t="shared" si="32"/>
      </c>
      <c r="M212" s="39">
        <f t="shared" si="32"/>
        <v>1</v>
      </c>
      <c r="N212" s="39">
        <f t="shared" si="32"/>
      </c>
      <c r="O212" s="39">
        <f>10-SUM(K209:N212)</f>
        <v>0</v>
      </c>
      <c r="P212" s="35"/>
      <c r="R212" t="s">
        <v>799</v>
      </c>
    </row>
    <row r="213" spans="1:16" ht="12.75">
      <c r="A213" s="105" t="s">
        <v>983</v>
      </c>
      <c r="B213" s="17"/>
      <c r="C213" s="27" t="s">
        <v>709</v>
      </c>
      <c r="D213" s="28"/>
      <c r="E213" s="29"/>
      <c r="F213" s="9"/>
      <c r="G213" s="42"/>
      <c r="H213" s="14"/>
      <c r="I213" s="35"/>
      <c r="J213" s="35"/>
      <c r="K213" s="39"/>
      <c r="L213" s="39"/>
      <c r="M213" s="39"/>
      <c r="N213" s="39"/>
      <c r="O213" s="39"/>
      <c r="P213" s="35" t="s">
        <v>914</v>
      </c>
    </row>
    <row r="214" spans="1:18" ht="12.75">
      <c r="A214" s="92" t="s">
        <v>322</v>
      </c>
      <c r="B214" s="109">
        <v>1</v>
      </c>
      <c r="C214" s="26" t="str">
        <f>IF(A214="","",VLOOKUP($A213,IF(LEN(A214)=2,WSB,WSA),VLOOKUP(LEFT(A214,1),Teams,6,FALSE),FALSE))</f>
        <v>Hannah Czarnowski</v>
      </c>
      <c r="D214" s="26" t="str">
        <f>IF(A214="","",VLOOKUP($A213,IF(LEN(A214)=2,WSB,WSA),VLOOKUP(LEFT(A214,1),Teams,7,FALSE),FALSE))</f>
        <v>U17</v>
      </c>
      <c r="E214" s="26" t="str">
        <f>IF(A214="","",VLOOKUP(LEFT(A214,1),Teams,2,FALSE))</f>
        <v>Tonbridge</v>
      </c>
      <c r="F214" s="94" t="s">
        <v>114</v>
      </c>
      <c r="G214" s="95">
        <v>4</v>
      </c>
      <c r="H214" s="14"/>
      <c r="I214" s="35">
        <f>IF(OR(F214="",F214-VLOOKUP($A213,WAWstandards,12,FALSE)&gt;0),0,INT(VLOOKUP($A213,WAWstandards,11,FALSE)*(VLOOKUP($A213,WAWstandards,12,FALSE)-F214)^VLOOKUP($A213,WAWstandards,13,FALSE)+0.5))</f>
        <v>568</v>
      </c>
      <c r="J214" s="32" t="str">
        <f>IF(F214="","",IF(F214-VLOOKUP($A213,WAWstandards,VLOOKUP(D214,Wage,2,FALSE),FALSE)&gt;0,"","aw"))</f>
        <v>aw</v>
      </c>
      <c r="K214" s="39">
        <f aca="true" t="shared" si="33" ref="K214:N217">IF($A214="","",IF(LEFT($A214,1)=K$8,$G214,""))</f>
      </c>
      <c r="L214" s="39">
        <f t="shared" si="33"/>
      </c>
      <c r="M214" s="39">
        <f t="shared" si="33"/>
      </c>
      <c r="N214" s="39">
        <f t="shared" si="33"/>
        <v>4</v>
      </c>
      <c r="O214" s="39"/>
      <c r="P214" s="35"/>
      <c r="R214" t="s">
        <v>799</v>
      </c>
    </row>
    <row r="215" spans="1:18" ht="12.75">
      <c r="A215" s="92" t="s">
        <v>313</v>
      </c>
      <c r="B215" s="109">
        <v>2</v>
      </c>
      <c r="C215" s="26" t="str">
        <f>IF(A215="","",VLOOKUP($A213,IF(LEN(A215)=2,WSB,WSA),VLOOKUP(LEFT(A215,1),Teams,6,FALSE),FALSE))</f>
        <v>Eloise Robini</v>
      </c>
      <c r="D215" s="26" t="str">
        <f>IF(A215="","",VLOOKUP($A213,IF(LEN(A215)=2,WSB,WSA),VLOOKUP(LEFT(A215,1),Teams,7,FALSE),FALSE))</f>
        <v>U20</v>
      </c>
      <c r="E215" s="26" t="str">
        <f>IF(A215="","",VLOOKUP(LEFT(A215,1),Teams,2,FALSE))</f>
        <v>Epsom &amp; Ewell</v>
      </c>
      <c r="F215" s="94" t="s">
        <v>115</v>
      </c>
      <c r="G215" s="95">
        <v>3</v>
      </c>
      <c r="H215" s="14"/>
      <c r="I215" s="35">
        <f>IF(OR(F215="",F215-VLOOKUP($A213,WAWstandards,12,FALSE)&gt;0),0,INT(VLOOKUP($A213,WAWstandards,11,FALSE)*(VLOOKUP($A213,WAWstandards,12,FALSE)-F215)^VLOOKUP($A213,WAWstandards,13,FALSE)+0.5))</f>
        <v>497</v>
      </c>
      <c r="J215" s="32">
        <f>IF(F215="","",IF(F215-VLOOKUP($A213,WAWstandards,VLOOKUP(D215,Wage,2,FALSE),FALSE)&gt;0,"","aw"))</f>
      </c>
      <c r="K215" s="39">
        <f t="shared" si="33"/>
        <v>3</v>
      </c>
      <c r="L215" s="39">
        <f t="shared" si="33"/>
      </c>
      <c r="M215" s="39">
        <f t="shared" si="33"/>
      </c>
      <c r="N215" s="39">
        <f t="shared" si="33"/>
      </c>
      <c r="O215" s="39"/>
      <c r="P215" s="35"/>
      <c r="R215" t="s">
        <v>799</v>
      </c>
    </row>
    <row r="216" spans="1:18" ht="12.75">
      <c r="A216" s="92" t="s">
        <v>321</v>
      </c>
      <c r="B216" s="109">
        <v>3</v>
      </c>
      <c r="C216" s="26" t="str">
        <f>IF(A216="","",VLOOKUP($A213,IF(LEN(A216)=2,WSB,WSA),VLOOKUP(LEFT(A216,1),Teams,6,FALSE),FALSE))</f>
        <v>Libby Moody</v>
      </c>
      <c r="D216" s="26" t="str">
        <f>IF(A216="","",VLOOKUP($A213,IF(LEN(A216)=2,WSB,WSA),VLOOKUP(LEFT(A216,1),Teams,7,FALSE),FALSE))</f>
        <v>U17</v>
      </c>
      <c r="E216" s="26" t="str">
        <f>IF(A216="","",VLOOKUP(LEFT(A216,1),Teams,2,FALSE))</f>
        <v>Crawley</v>
      </c>
      <c r="F216" s="94" t="s">
        <v>116</v>
      </c>
      <c r="G216" s="95">
        <v>2</v>
      </c>
      <c r="H216" s="14"/>
      <c r="I216" s="35">
        <f>IF(OR(F216="",F216-VLOOKUP($A213,WAWstandards,12,FALSE)&gt;0),0,INT(VLOOKUP($A213,WAWstandards,11,FALSE)*(VLOOKUP($A213,WAWstandards,12,FALSE)-F216)^VLOOKUP($A213,WAWstandards,13,FALSE)+0.5))</f>
        <v>438</v>
      </c>
      <c r="J216" s="32">
        <f>IF(F216="","",IF(F216-VLOOKUP($A213,WAWstandards,VLOOKUP(D216,Wage,2,FALSE),FALSE)&gt;0,"","aw"))</f>
      </c>
      <c r="K216" s="39">
        <f t="shared" si="33"/>
      </c>
      <c r="L216" s="39">
        <f t="shared" si="33"/>
        <v>2</v>
      </c>
      <c r="M216" s="39">
        <f t="shared" si="33"/>
      </c>
      <c r="N216" s="39">
        <f t="shared" si="33"/>
      </c>
      <c r="O216" s="39"/>
      <c r="P216" s="35"/>
      <c r="R216" t="s">
        <v>799</v>
      </c>
    </row>
    <row r="217" spans="1:18" ht="12.75">
      <c r="A217" s="92" t="s">
        <v>328</v>
      </c>
      <c r="B217" s="109">
        <v>4</v>
      </c>
      <c r="C217" s="26" t="str">
        <f>IF(A217="","",VLOOKUP($A213,IF(LEN(A217)=2,WSB,WSA),VLOOKUP(LEFT(A217,1),Teams,6,FALSE),FALSE))</f>
        <v>Aiste Razmaite</v>
      </c>
      <c r="D217" s="26" t="str">
        <f>IF(A217="","",VLOOKUP($A213,IF(LEN(A217)=2,WSB,WSA),VLOOKUP(LEFT(A217,1),Teams,7,FALSE),FALSE))</f>
        <v>U17</v>
      </c>
      <c r="E217" s="26" t="str">
        <f>IF(A217="","",VLOOKUP(LEFT(A217,1),Teams,2,FALSE))</f>
        <v>Team Dorset</v>
      </c>
      <c r="F217" s="94" t="s">
        <v>763</v>
      </c>
      <c r="G217" s="95">
        <v>1</v>
      </c>
      <c r="H217" s="14"/>
      <c r="I217" s="35">
        <f>IF(OR(F217="",F217-VLOOKUP($A213,WAWstandards,12,FALSE)&gt;0),0,INT(VLOOKUP($A213,WAWstandards,11,FALSE)*(VLOOKUP($A213,WAWstandards,12,FALSE)-F217)^VLOOKUP($A213,WAWstandards,13,FALSE)+0.5))</f>
        <v>356</v>
      </c>
      <c r="J217" s="32">
        <f>IF(F217="","",IF(F217-VLOOKUP($A213,WAWstandards,VLOOKUP(D217,Wage,2,FALSE),FALSE)&gt;0,"","aw"))</f>
      </c>
      <c r="K217" s="39">
        <f t="shared" si="33"/>
      </c>
      <c r="L217" s="39">
        <f t="shared" si="33"/>
      </c>
      <c r="M217" s="39">
        <f t="shared" si="33"/>
        <v>1</v>
      </c>
      <c r="N217" s="39">
        <f t="shared" si="33"/>
      </c>
      <c r="O217" s="39">
        <f>10-SUM(K214:N217)</f>
        <v>0</v>
      </c>
      <c r="P217" s="35"/>
      <c r="R217" t="s">
        <v>799</v>
      </c>
    </row>
    <row r="218" spans="1:16" ht="12.75">
      <c r="A218" s="105" t="s">
        <v>984</v>
      </c>
      <c r="B218" s="17"/>
      <c r="C218" s="28" t="s">
        <v>710</v>
      </c>
      <c r="D218" s="28"/>
      <c r="E218" s="29"/>
      <c r="F218" s="8"/>
      <c r="G218" s="42"/>
      <c r="H218" s="14"/>
      <c r="I218" s="35"/>
      <c r="J218" s="40"/>
      <c r="K218" s="39"/>
      <c r="L218" s="39"/>
      <c r="M218" s="39"/>
      <c r="N218" s="39"/>
      <c r="O218" s="39"/>
      <c r="P218" s="35" t="s">
        <v>915</v>
      </c>
    </row>
    <row r="219" spans="1:18" ht="12.75">
      <c r="A219" s="92" t="s">
        <v>312</v>
      </c>
      <c r="B219" s="109">
        <v>1</v>
      </c>
      <c r="C219" s="26" t="str">
        <f>IF(A219="","",VLOOKUP($A218,IF(LEN(A219)=2,WSB,WSA),VLOOKUP(LEFT(A219,1),Teams,6,FALSE),FALSE))</f>
        <v>Diana Norman</v>
      </c>
      <c r="D219" s="26" t="str">
        <f>IF(A219="","",VLOOKUP($A218,IF(LEN(A219)=2,WSB,WSA),VLOOKUP(LEFT(A219,1),Teams,7,FALSE),FALSE))</f>
        <v>W40</v>
      </c>
      <c r="E219" s="26" t="str">
        <f>IF(A219="","",VLOOKUP(LEFT(A219,1),Teams,2,FALSE))</f>
        <v>Epsom &amp; Ewell</v>
      </c>
      <c r="F219" s="94" t="s">
        <v>336</v>
      </c>
      <c r="G219" s="95">
        <v>4</v>
      </c>
      <c r="H219" s="14"/>
      <c r="I219" s="35">
        <f>IF(OR(F219="",TEXT(F219,"[s].0")-VLOOKUP($A218,WAWstandards,12,FALSE)&gt;0),0,INT(VLOOKUP($A218,WAWstandards,11,FALSE)*(VLOOKUP($A218,WAWstandards,12,FALSE)-TEXT(F219,"[s].0"))^VLOOKUP($A218,WAWstandards,13,FALSE)+0.5))</f>
        <v>776</v>
      </c>
      <c r="J219" s="32" t="str">
        <f>IF(F219="","",IF(F219-VLOOKUP($A218,WAWstandards,VLOOKUP(D219,Wage,2,FALSE),FALSE)&gt;0,"","aw"))</f>
        <v>aw</v>
      </c>
      <c r="K219" s="39">
        <f aca="true" t="shared" si="34" ref="K219:N234">IF($A219="","",IF(LEFT($A219,1)=K$8,$G219,""))</f>
        <v>4</v>
      </c>
      <c r="L219" s="39">
        <f t="shared" si="34"/>
      </c>
      <c r="M219" s="39">
        <f t="shared" si="34"/>
      </c>
      <c r="N219" s="39">
        <f t="shared" si="34"/>
      </c>
      <c r="O219" s="39"/>
      <c r="P219" s="35"/>
      <c r="R219" t="s">
        <v>803</v>
      </c>
    </row>
    <row r="220" spans="1:18" ht="12.75">
      <c r="A220" s="92" t="s">
        <v>320</v>
      </c>
      <c r="B220" s="109">
        <v>2</v>
      </c>
      <c r="C220" s="26" t="str">
        <f>IF(A220="","",VLOOKUP($A218,IF(LEN(A220)=2,WSB,WSA),VLOOKUP(LEFT(A220,1),Teams,6,FALSE),FALSE))</f>
        <v>Aiste Razmaite</v>
      </c>
      <c r="D220" s="26" t="str">
        <f>IF(A220="","",VLOOKUP($A218,IF(LEN(A220)=2,WSB,WSA),VLOOKUP(LEFT(A220,1),Teams,7,FALSE),FALSE))</f>
        <v>U17</v>
      </c>
      <c r="E220" s="26" t="str">
        <f>IF(A220="","",VLOOKUP(LEFT(A220,1),Teams,2,FALSE))</f>
        <v>Team Dorset</v>
      </c>
      <c r="F220" s="94" t="s">
        <v>338</v>
      </c>
      <c r="G220" s="95">
        <v>3</v>
      </c>
      <c r="H220" s="14"/>
      <c r="I220" s="35">
        <f>IF(OR(F220="",TEXT(F220,"[s].0")-VLOOKUP($A218,WAWstandards,12,FALSE)&gt;0),0,INT(VLOOKUP($A218,WAWstandards,11,FALSE)*(VLOOKUP($A218,WAWstandards,12,FALSE)-TEXT(F220,"[s].0"))^VLOOKUP($A218,WAWstandards,13,FALSE)+0.5))</f>
        <v>731</v>
      </c>
      <c r="J220" s="32" t="str">
        <f>IF(F220="","",IF(F220-VLOOKUP($A218,WAWstandards,VLOOKUP(D220,Wage,2,FALSE),FALSE)&gt;0,"","aw"))</f>
        <v>aw</v>
      </c>
      <c r="K220" s="39">
        <f t="shared" si="34"/>
      </c>
      <c r="L220" s="39">
        <f t="shared" si="34"/>
      </c>
      <c r="M220" s="39">
        <f t="shared" si="34"/>
        <v>3</v>
      </c>
      <c r="N220" s="39">
        <f t="shared" si="34"/>
      </c>
      <c r="O220" s="39"/>
      <c r="P220" s="35"/>
      <c r="R220" t="s">
        <v>803</v>
      </c>
    </row>
    <row r="221" spans="1:18" ht="12.75">
      <c r="A221" s="92" t="s">
        <v>327</v>
      </c>
      <c r="B221" s="109">
        <v>3</v>
      </c>
      <c r="C221" s="26" t="str">
        <f>IF(A221="","",VLOOKUP($A218,IF(LEN(A221)=2,WSB,WSA),VLOOKUP(LEFT(A221,1),Teams,6,FALSE),FALSE))</f>
        <v>Hannah Czarnowski</v>
      </c>
      <c r="D221" s="26" t="str">
        <f>IF(A221="","",VLOOKUP($A218,IF(LEN(A221)=2,WSB,WSA),VLOOKUP(LEFT(A221,1),Teams,7,FALSE),FALSE))</f>
        <v>U17</v>
      </c>
      <c r="E221" s="26" t="str">
        <f>IF(A221="","",VLOOKUP(LEFT(A221,1),Teams,2,FALSE))</f>
        <v>Tonbridge</v>
      </c>
      <c r="F221" s="94" t="s">
        <v>1062</v>
      </c>
      <c r="G221" s="95">
        <v>2</v>
      </c>
      <c r="H221" s="14"/>
      <c r="I221" s="35">
        <f>IF(OR(F221="",TEXT(F221,"[s].0")-VLOOKUP($A218,WAWstandards,12,FALSE)&gt;0),0,INT(VLOOKUP($A218,WAWstandards,11,FALSE)*(VLOOKUP($A218,WAWstandards,12,FALSE)-TEXT(F221,"[s].0"))^VLOOKUP($A218,WAWstandards,13,FALSE)+0.5))</f>
        <v>623</v>
      </c>
      <c r="J221" s="32" t="str">
        <f>IF(F221="","",IF(F221-VLOOKUP($A218,WAWstandards,VLOOKUP(D221,Wage,2,FALSE),FALSE)&gt;0,"","aw"))</f>
        <v>aw</v>
      </c>
      <c r="K221" s="39">
        <f t="shared" si="34"/>
      </c>
      <c r="L221" s="39">
        <f t="shared" si="34"/>
      </c>
      <c r="M221" s="39">
        <f t="shared" si="34"/>
      </c>
      <c r="N221" s="39">
        <f t="shared" si="34"/>
        <v>2</v>
      </c>
      <c r="O221" s="39"/>
      <c r="P221" s="35"/>
      <c r="R221" t="s">
        <v>803</v>
      </c>
    </row>
    <row r="222" spans="1:18" ht="12.75">
      <c r="A222" s="92" t="s">
        <v>315</v>
      </c>
      <c r="B222" s="109">
        <v>4</v>
      </c>
      <c r="C222" s="26" t="str">
        <f>IF(A222="","",VLOOKUP($A218,IF(LEN(A222)=2,WSB,WSA),VLOOKUP(LEFT(A222,1),Teams,6,FALSE),FALSE))</f>
        <v>Olivia Dowie</v>
      </c>
      <c r="D222" s="26" t="str">
        <f>IF(A222="","",VLOOKUP($A218,IF(LEN(A222)=2,WSB,WSA),VLOOKUP(LEFT(A222,1),Teams,7,FALSE),FALSE))</f>
        <v>U17</v>
      </c>
      <c r="E222" s="26" t="str">
        <f>IF(A222="","",VLOOKUP(LEFT(A222,1),Teams,2,FALSE))</f>
        <v>Crawley</v>
      </c>
      <c r="F222" s="94" t="s">
        <v>339</v>
      </c>
      <c r="G222" s="95">
        <v>1</v>
      </c>
      <c r="H222" s="14"/>
      <c r="I222" s="35">
        <f>IF(OR(F222="",TEXT(F222,"[s].0")-VLOOKUP($A218,WAWstandards,12,FALSE)&gt;0),0,INT(VLOOKUP($A218,WAWstandards,11,FALSE)*(VLOOKUP($A218,WAWstandards,12,FALSE)-TEXT(F222,"[s].0"))^VLOOKUP($A218,WAWstandards,13,FALSE)+0.5))</f>
        <v>599</v>
      </c>
      <c r="J222" s="32" t="str">
        <f>IF(F222="","",IF(F222-VLOOKUP($A218,WAWstandards,VLOOKUP(D222,Wage,2,FALSE),FALSE)&gt;0,"","aw"))</f>
        <v>aw</v>
      </c>
      <c r="K222" s="39">
        <f t="shared" si="34"/>
      </c>
      <c r="L222" s="39">
        <f t="shared" si="34"/>
        <v>1</v>
      </c>
      <c r="M222" s="39">
        <f t="shared" si="34"/>
      </c>
      <c r="N222" s="39">
        <f t="shared" si="34"/>
      </c>
      <c r="O222" s="39">
        <f>10-SUM(K219:N222)</f>
        <v>0</v>
      </c>
      <c r="P222" s="35"/>
      <c r="R222" t="s">
        <v>803</v>
      </c>
    </row>
    <row r="223" spans="1:16" ht="12.75">
      <c r="A223" s="105" t="s">
        <v>984</v>
      </c>
      <c r="B223" s="17"/>
      <c r="C223" s="27" t="s">
        <v>711</v>
      </c>
      <c r="D223" s="28"/>
      <c r="E223" s="29"/>
      <c r="F223" s="8"/>
      <c r="G223" s="42"/>
      <c r="H223" s="14"/>
      <c r="I223" s="35"/>
      <c r="J223" s="40"/>
      <c r="K223" s="39"/>
      <c r="L223" s="39"/>
      <c r="M223" s="39"/>
      <c r="N223" s="39"/>
      <c r="O223" s="39"/>
      <c r="P223" s="35" t="s">
        <v>916</v>
      </c>
    </row>
    <row r="224" spans="1:18" ht="12.75">
      <c r="A224" s="92" t="s">
        <v>322</v>
      </c>
      <c r="B224" s="109">
        <v>1</v>
      </c>
      <c r="C224" s="26" t="str">
        <f>IF(A224="","",VLOOKUP($A223,IF(LEN(A224)=2,WSB,WSA),VLOOKUP(LEFT(A224,1),Teams,6,FALSE),FALSE))</f>
        <v>Polly Pitcairn-Knowles</v>
      </c>
      <c r="D224" s="26" t="str">
        <f>IF(A224="","",VLOOKUP($A223,IF(LEN(A224)=2,WSB,WSA),VLOOKUP(LEFT(A224,1),Teams,7,FALSE),FALSE))</f>
        <v>U17</v>
      </c>
      <c r="E224" s="26" t="str">
        <f>IF(A224="","",VLOOKUP(LEFT(A224,1),Teams,2,FALSE))</f>
        <v>Tonbridge</v>
      </c>
      <c r="F224" s="94" t="s">
        <v>340</v>
      </c>
      <c r="G224" s="95">
        <v>4</v>
      </c>
      <c r="H224" s="14"/>
      <c r="I224" s="35">
        <f>IF(OR(F224="",TEXT(F224,"[s].0")-VLOOKUP($A223,WAWstandards,12,FALSE)&gt;0),0,INT(VLOOKUP($A223,WAWstandards,11,FALSE)*(VLOOKUP($A223,WAWstandards,12,FALSE)-TEXT(F224,"[s].0"))^VLOOKUP($A223,WAWstandards,13,FALSE)+0.5))</f>
        <v>582</v>
      </c>
      <c r="J224" s="32" t="str">
        <f>IF(F224="","",IF(F224-VLOOKUP($A223,WAWstandards,VLOOKUP(D224,Wage,2,FALSE),FALSE)&gt;0,"","aw"))</f>
        <v>aw</v>
      </c>
      <c r="K224" s="39">
        <f t="shared" si="34"/>
      </c>
      <c r="L224" s="39">
        <f t="shared" si="34"/>
      </c>
      <c r="M224" s="39">
        <f t="shared" si="34"/>
      </c>
      <c r="N224" s="39">
        <f t="shared" si="34"/>
        <v>4</v>
      </c>
      <c r="O224" s="39"/>
      <c r="P224" s="35"/>
      <c r="R224" t="s">
        <v>803</v>
      </c>
    </row>
    <row r="225" spans="1:18" ht="12.75">
      <c r="A225" s="92" t="s">
        <v>321</v>
      </c>
      <c r="B225" s="109">
        <v>2</v>
      </c>
      <c r="C225" s="26" t="str">
        <f>IF(A225="","",VLOOKUP($A223,IF(LEN(A225)=2,WSB,WSA),VLOOKUP(LEFT(A225,1),Teams,6,FALSE),FALSE))</f>
        <v>Sophie Dowle</v>
      </c>
      <c r="D225" s="26" t="str">
        <f>IF(A225="","",VLOOKUP($A223,IF(LEN(A225)=2,WSB,WSA),VLOOKUP(LEFT(A225,1),Teams,7,FALSE),FALSE))</f>
        <v>U17</v>
      </c>
      <c r="E225" s="26" t="str">
        <f>IF(A225="","",VLOOKUP(LEFT(A225,1),Teams,2,FALSE))</f>
        <v>Crawley</v>
      </c>
      <c r="F225" s="94" t="s">
        <v>341</v>
      </c>
      <c r="G225" s="95">
        <v>3</v>
      </c>
      <c r="H225" s="14"/>
      <c r="I225" s="35">
        <f>IF(OR(F225="",TEXT(F225,"[s].0")-VLOOKUP($A223,WAWstandards,12,FALSE)&gt;0),0,INT(VLOOKUP($A223,WAWstandards,11,FALSE)*(VLOOKUP($A223,WAWstandards,12,FALSE)-TEXT(F225,"[s].0"))^VLOOKUP($A223,WAWstandards,13,FALSE)+0.5))</f>
        <v>578</v>
      </c>
      <c r="J225" s="32" t="str">
        <f>IF(F225="","",IF(F225-VLOOKUP($A223,WAWstandards,VLOOKUP(D225,Wage,2,FALSE),FALSE)&gt;0,"","aw"))</f>
        <v>aw</v>
      </c>
      <c r="K225" s="39">
        <f t="shared" si="34"/>
      </c>
      <c r="L225" s="39">
        <f t="shared" si="34"/>
        <v>3</v>
      </c>
      <c r="M225" s="39">
        <f t="shared" si="34"/>
      </c>
      <c r="N225" s="39">
        <f t="shared" si="34"/>
      </c>
      <c r="O225" s="39"/>
      <c r="P225" s="35"/>
      <c r="R225" t="s">
        <v>803</v>
      </c>
    </row>
    <row r="226" spans="1:18" ht="12.75">
      <c r="A226" s="92" t="s">
        <v>328</v>
      </c>
      <c r="B226" s="109">
        <v>3</v>
      </c>
      <c r="C226" s="26" t="str">
        <f>IF(A226="","",VLOOKUP($A223,IF(LEN(A226)=2,WSB,WSA),VLOOKUP(LEFT(A226,1),Teams,6,FALSE),FALSE))</f>
        <v>Sarah Orr</v>
      </c>
      <c r="D226" s="26" t="str">
        <f>IF(A226="","",VLOOKUP($A223,IF(LEN(A226)=2,WSB,WSA),VLOOKUP(LEFT(A226,1),Teams,7,FALSE),FALSE))</f>
        <v>W40</v>
      </c>
      <c r="E226" s="26" t="str">
        <f>IF(A226="","",VLOOKUP(LEFT(A226,1),Teams,2,FALSE))</f>
        <v>Team Dorset</v>
      </c>
      <c r="F226" s="94" t="s">
        <v>342</v>
      </c>
      <c r="G226" s="95">
        <v>2</v>
      </c>
      <c r="H226" s="14"/>
      <c r="I226" s="35">
        <f>IF(OR(F226="",TEXT(F226,"[s].0")-VLOOKUP($A223,WAWstandards,12,FALSE)&gt;0),0,INT(VLOOKUP($A223,WAWstandards,11,FALSE)*(VLOOKUP($A223,WAWstandards,12,FALSE)-TEXT(F226,"[s].0"))^VLOOKUP($A223,WAWstandards,13,FALSE)+0.5))</f>
        <v>397</v>
      </c>
      <c r="J226" s="32">
        <f>IF(F226="","",IF(F226-VLOOKUP($A223,WAWstandards,VLOOKUP(D226,Wage,2,FALSE),FALSE)&gt;0,"","aw"))</f>
      </c>
      <c r="K226" s="39">
        <f t="shared" si="34"/>
      </c>
      <c r="L226" s="39">
        <f t="shared" si="34"/>
      </c>
      <c r="M226" s="39">
        <f t="shared" si="34"/>
        <v>2</v>
      </c>
      <c r="N226" s="39">
        <f t="shared" si="34"/>
      </c>
      <c r="O226" s="39"/>
      <c r="P226" s="35"/>
      <c r="R226" t="s">
        <v>803</v>
      </c>
    </row>
    <row r="227" spans="1:18" ht="12.75">
      <c r="A227" s="92" t="s">
        <v>313</v>
      </c>
      <c r="B227" s="109">
        <v>4</v>
      </c>
      <c r="C227" s="26" t="str">
        <f>IF(A227="","",VLOOKUP($A223,IF(LEN(A227)=2,WSB,WSA),VLOOKUP(LEFT(A227,1),Teams,6,FALSE),FALSE))</f>
        <v>Katie Garrod</v>
      </c>
      <c r="D227" s="26" t="str">
        <f>IF(A227="","",VLOOKUP($A223,IF(LEN(A227)=2,WSB,WSA),VLOOKUP(LEFT(A227,1),Teams,7,FALSE),FALSE))</f>
        <v>SW</v>
      </c>
      <c r="E227" s="26" t="str">
        <f>IF(A227="","",VLOOKUP(LEFT(A227,1),Teams,2,FALSE))</f>
        <v>Epsom &amp; Ewell</v>
      </c>
      <c r="F227" s="94" t="s">
        <v>343</v>
      </c>
      <c r="G227" s="95">
        <v>1</v>
      </c>
      <c r="H227" s="14"/>
      <c r="I227" s="35">
        <f>IF(OR(F227="",TEXT(F227,"[s].0")-VLOOKUP($A223,WAWstandards,12,FALSE)&gt;0),0,INT(VLOOKUP($A223,WAWstandards,11,FALSE)*(VLOOKUP($A223,WAWstandards,12,FALSE)-TEXT(F227,"[s].0"))^VLOOKUP($A223,WAWstandards,13,FALSE)+0.5))</f>
        <v>185</v>
      </c>
      <c r="J227" s="32">
        <f>IF(F227="","",IF(F227-VLOOKUP($A223,WAWstandards,VLOOKUP(D227,Wage,2,FALSE),FALSE)&gt;0,"","aw"))</f>
      </c>
      <c r="K227" s="39">
        <f t="shared" si="34"/>
        <v>1</v>
      </c>
      <c r="L227" s="39">
        <f t="shared" si="34"/>
      </c>
      <c r="M227" s="39">
        <f t="shared" si="34"/>
      </c>
      <c r="N227" s="39">
        <f t="shared" si="34"/>
      </c>
      <c r="O227" s="39">
        <f>10-SUM(K224:N227)</f>
        <v>0</v>
      </c>
      <c r="P227" s="35"/>
      <c r="R227" t="s">
        <v>803</v>
      </c>
    </row>
    <row r="228" spans="1:16" ht="12.75">
      <c r="A228" s="105" t="s">
        <v>985</v>
      </c>
      <c r="B228" s="17"/>
      <c r="C228" s="27" t="s">
        <v>712</v>
      </c>
      <c r="D228" s="28"/>
      <c r="E228" s="29"/>
      <c r="F228" s="8"/>
      <c r="G228" s="42"/>
      <c r="H228" s="14"/>
      <c r="I228" s="35"/>
      <c r="J228" s="40"/>
      <c r="K228" s="39"/>
      <c r="L228" s="39"/>
      <c r="M228" s="39"/>
      <c r="N228" s="39"/>
      <c r="O228" s="39"/>
      <c r="P228" s="35" t="s">
        <v>917</v>
      </c>
    </row>
    <row r="229" spans="1:18" ht="12.75">
      <c r="A229" s="92" t="s">
        <v>320</v>
      </c>
      <c r="B229" s="109">
        <v>1</v>
      </c>
      <c r="C229" s="26" t="str">
        <f>IF(A229="","",VLOOKUP($A228,IF(LEN(A229)=2,WSB,WSA),VLOOKUP(LEFT(A229,1),Teams,6,FALSE),FALSE))</f>
        <v>Lizzie Hood</v>
      </c>
      <c r="D229" s="26" t="str">
        <f>IF(A229="","",VLOOKUP($A228,IF(LEN(A229)=2,WSB,WSA),VLOOKUP(LEFT(A229,1),Teams,7,FALSE),FALSE))</f>
        <v>U17</v>
      </c>
      <c r="E229" s="26" t="str">
        <f>IF(A229="","",VLOOKUP(LEFT(A229,1),Teams,2,FALSE))</f>
        <v>Team Dorset</v>
      </c>
      <c r="F229" s="94" t="s">
        <v>202</v>
      </c>
      <c r="G229" s="95">
        <v>4</v>
      </c>
      <c r="H229" s="14"/>
      <c r="I229" s="35">
        <f>IF(OR(F229="",TEXT(F229,"[s].0")-VLOOKUP($A228,WAWstandards,12,FALSE)&gt;0),0,INT(VLOOKUP($A228,WAWstandards,11,FALSE)*(VLOOKUP($A228,WAWstandards,12,FALSE)-TEXT(F229,"[s].0"))^VLOOKUP($A228,WAWstandards,13,FALSE)+0.5))</f>
        <v>700</v>
      </c>
      <c r="J229" s="32" t="str">
        <f>IF(F229="","",IF(F229-VLOOKUP($A228,WAWstandards,VLOOKUP(D229,Wage,2,FALSE),FALSE)&gt;0,"","aw"))</f>
        <v>aw</v>
      </c>
      <c r="K229" s="39">
        <f t="shared" si="34"/>
      </c>
      <c r="L229" s="39">
        <f t="shared" si="34"/>
      </c>
      <c r="M229" s="39">
        <f t="shared" si="34"/>
        <v>4</v>
      </c>
      <c r="N229" s="39">
        <f t="shared" si="34"/>
      </c>
      <c r="O229" s="39"/>
      <c r="P229" s="35"/>
      <c r="R229" t="s">
        <v>795</v>
      </c>
    </row>
    <row r="230" spans="1:18" ht="12.75">
      <c r="A230" s="92" t="s">
        <v>327</v>
      </c>
      <c r="B230" s="109">
        <v>2</v>
      </c>
      <c r="C230" s="26" t="str">
        <f>IF(A230="","",VLOOKUP($A228,IF(LEN(A230)=2,WSB,WSA),VLOOKUP(LEFT(A230,1),Teams,6,FALSE),FALSE))</f>
        <v>Alice Ralph</v>
      </c>
      <c r="D230" s="26" t="str">
        <f>IF(A230="","",VLOOKUP($A228,IF(LEN(A230)=2,WSB,WSA),VLOOKUP(LEFT(A230,1),Teams,7,FALSE),FALSE))</f>
        <v>U17</v>
      </c>
      <c r="E230" s="26" t="str">
        <f>IF(A230="","",VLOOKUP(LEFT(A230,1),Teams,2,FALSE))</f>
        <v>Tonbridge</v>
      </c>
      <c r="F230" s="94" t="s">
        <v>203</v>
      </c>
      <c r="G230" s="95">
        <v>3</v>
      </c>
      <c r="H230" s="14"/>
      <c r="I230" s="35">
        <f>IF(OR(F230="",TEXT(F230,"[s].0")-VLOOKUP($A228,WAWstandards,12,FALSE)&gt;0),0,INT(VLOOKUP($A228,WAWstandards,11,FALSE)*(VLOOKUP($A228,WAWstandards,12,FALSE)-TEXT(F230,"[s].0"))^VLOOKUP($A228,WAWstandards,13,FALSE)+0.5))</f>
        <v>594</v>
      </c>
      <c r="J230" s="32" t="str">
        <f>IF(F230="","",IF(F230-VLOOKUP($A228,WAWstandards,VLOOKUP(D230,Wage,2,FALSE),FALSE)&gt;0,"","aw"))</f>
        <v>aw</v>
      </c>
      <c r="K230" s="39">
        <f t="shared" si="34"/>
      </c>
      <c r="L230" s="39">
        <f t="shared" si="34"/>
      </c>
      <c r="M230" s="39">
        <f t="shared" si="34"/>
      </c>
      <c r="N230" s="39">
        <f t="shared" si="34"/>
        <v>3</v>
      </c>
      <c r="O230" s="39"/>
      <c r="P230" s="35"/>
      <c r="R230" t="s">
        <v>795</v>
      </c>
    </row>
    <row r="231" spans="1:18" ht="12.75">
      <c r="A231" s="92" t="s">
        <v>312</v>
      </c>
      <c r="B231" s="109">
        <v>3</v>
      </c>
      <c r="C231" s="26" t="str">
        <f>IF(A231="","",VLOOKUP($A228,IF(LEN(A231)=2,WSB,WSA),VLOOKUP(LEFT(A231,1),Teams,6,FALSE),FALSE))</f>
        <v>Emily Alden</v>
      </c>
      <c r="D231" s="26" t="str">
        <f>IF(A231="","",VLOOKUP($A228,IF(LEN(A231)=2,WSB,WSA),VLOOKUP(LEFT(A231,1),Teams,7,FALSE),FALSE))</f>
        <v>SW</v>
      </c>
      <c r="E231" s="26" t="str">
        <f>IF(A231="","",VLOOKUP(LEFT(A231,1),Teams,2,FALSE))</f>
        <v>Epsom &amp; Ewell</v>
      </c>
      <c r="F231" s="94" t="s">
        <v>204</v>
      </c>
      <c r="G231" s="95">
        <v>2</v>
      </c>
      <c r="H231" s="14"/>
      <c r="I231" s="35">
        <f>IF(OR(F231="",TEXT(F231,"[s].0")-VLOOKUP($A228,WAWstandards,12,FALSE)&gt;0),0,INT(VLOOKUP($A228,WAWstandards,11,FALSE)*(VLOOKUP($A228,WAWstandards,12,FALSE)-TEXT(F231,"[s].0"))^VLOOKUP($A228,WAWstandards,13,FALSE)+0.5))</f>
        <v>567</v>
      </c>
      <c r="J231" s="32">
        <f>IF(F231="","",IF(F231-VLOOKUP($A228,WAWstandards,VLOOKUP(D231,Wage,2,FALSE),FALSE)&gt;0,"","aw"))</f>
      </c>
      <c r="K231" s="39">
        <f t="shared" si="34"/>
        <v>2</v>
      </c>
      <c r="L231" s="39">
        <f t="shared" si="34"/>
      </c>
      <c r="M231" s="39">
        <f t="shared" si="34"/>
      </c>
      <c r="N231" s="39">
        <f t="shared" si="34"/>
      </c>
      <c r="O231" s="39"/>
      <c r="P231" s="35"/>
      <c r="R231" t="s">
        <v>795</v>
      </c>
    </row>
    <row r="232" spans="1:18" ht="12.75">
      <c r="A232" s="92" t="s">
        <v>321</v>
      </c>
      <c r="B232" s="109">
        <v>4</v>
      </c>
      <c r="C232" s="26" t="str">
        <f>IF(A232="","",VLOOKUP($A228,IF(LEN(A232)=2,WSB,WSA),VLOOKUP(LEFT(A232,1),Teams,6,FALSE),FALSE))</f>
        <v>Becky Owen</v>
      </c>
      <c r="D232" s="26" t="str">
        <f>IF(A232="","",VLOOKUP($A228,IF(LEN(A232)=2,WSB,WSA),VLOOKUP(LEFT(A232,1),Teams,7,FALSE),FALSE))</f>
        <v>SW</v>
      </c>
      <c r="E232" s="26" t="str">
        <f>IF(A232="","",VLOOKUP(LEFT(A232,1),Teams,2,FALSE))</f>
        <v>Crawley</v>
      </c>
      <c r="F232" s="94" t="s">
        <v>205</v>
      </c>
      <c r="G232" s="95">
        <v>1</v>
      </c>
      <c r="H232" s="14"/>
      <c r="I232" s="35">
        <f>IF(OR(F232="",TEXT(F232,"[s].0")-VLOOKUP($A228,WAWstandards,12,FALSE)&gt;0),0,INT(VLOOKUP($A228,WAWstandards,11,FALSE)*(VLOOKUP($A228,WAWstandards,12,FALSE)-TEXT(F232,"[s].0"))^VLOOKUP($A228,WAWstandards,13,FALSE)+0.5))</f>
        <v>135</v>
      </c>
      <c r="J232" s="32">
        <f>IF(F232="","",IF(F232-VLOOKUP($A228,WAWstandards,VLOOKUP(D232,Wage,2,FALSE),FALSE)&gt;0,"","aw"))</f>
      </c>
      <c r="K232" s="39">
        <f t="shared" si="34"/>
      </c>
      <c r="L232" s="39">
        <f t="shared" si="34"/>
        <v>1</v>
      </c>
      <c r="M232" s="39">
        <f t="shared" si="34"/>
      </c>
      <c r="N232" s="39">
        <f t="shared" si="34"/>
      </c>
      <c r="O232" s="39">
        <f>10-SUM(K229:N232)</f>
        <v>0</v>
      </c>
      <c r="P232" s="35"/>
      <c r="R232" t="s">
        <v>795</v>
      </c>
    </row>
    <row r="233" spans="1:16" ht="12.75">
      <c r="A233" s="105" t="s">
        <v>985</v>
      </c>
      <c r="B233" s="17"/>
      <c r="C233" s="27" t="s">
        <v>713</v>
      </c>
      <c r="D233" s="28"/>
      <c r="E233" s="29"/>
      <c r="F233" s="8"/>
      <c r="G233" s="42"/>
      <c r="H233" s="14"/>
      <c r="I233" s="35"/>
      <c r="J233" s="40"/>
      <c r="K233" s="39"/>
      <c r="L233" s="39"/>
      <c r="M233" s="39"/>
      <c r="N233" s="39"/>
      <c r="O233" s="39"/>
      <c r="P233" s="35" t="s">
        <v>918</v>
      </c>
    </row>
    <row r="234" spans="1:18" ht="12.75">
      <c r="A234" s="92" t="s">
        <v>313</v>
      </c>
      <c r="B234" s="109">
        <v>1</v>
      </c>
      <c r="C234" s="26" t="str">
        <f>IF(A234="","",VLOOKUP($A233,IF(LEN(A234)=2,WSB,WSA),VLOOKUP(LEFT(A234,1),Teams,6,FALSE),FALSE))</f>
        <v>Morgan Morrison</v>
      </c>
      <c r="D234" s="26" t="str">
        <f>IF(A234="","",VLOOKUP($A233,IF(LEN(A234)=2,WSB,WSA),VLOOKUP(LEFT(A234,1),Teams,7,FALSE),FALSE))</f>
        <v>U17</v>
      </c>
      <c r="E234" s="26" t="str">
        <f>IF(A234="","",VLOOKUP(LEFT(A234,1),Teams,2,FALSE))</f>
        <v>Epsom &amp; Ewell</v>
      </c>
      <c r="F234" s="94" t="s">
        <v>206</v>
      </c>
      <c r="G234" s="95">
        <v>4</v>
      </c>
      <c r="H234" s="14"/>
      <c r="I234" s="35">
        <f>IF(OR(F234="",TEXT(F234,"[s].0")-VLOOKUP($A233,WAWstandards,12,FALSE)&gt;0),0,INT(VLOOKUP($A233,WAWstandards,11,FALSE)*(VLOOKUP($A233,WAWstandards,12,FALSE)-TEXT(F234,"[s].0"))^VLOOKUP($A233,WAWstandards,13,FALSE)+0.5))</f>
        <v>467</v>
      </c>
      <c r="J234" s="32">
        <f>IF(F234="","",IF(F234-VLOOKUP($A233,WAWstandards,VLOOKUP(D234,Wage,2,FALSE),FALSE)&gt;0,"","aw"))</f>
      </c>
      <c r="K234" s="39">
        <f t="shared" si="34"/>
        <v>4</v>
      </c>
      <c r="L234" s="39">
        <f t="shared" si="34"/>
      </c>
      <c r="M234" s="39">
        <f t="shared" si="34"/>
      </c>
      <c r="N234" s="39">
        <f t="shared" si="34"/>
      </c>
      <c r="O234" s="39"/>
      <c r="P234" s="35"/>
      <c r="R234" t="s">
        <v>795</v>
      </c>
    </row>
    <row r="235" spans="1:18" ht="12.75">
      <c r="A235" s="92" t="s">
        <v>328</v>
      </c>
      <c r="B235" s="109">
        <v>2</v>
      </c>
      <c r="C235" s="26" t="str">
        <f>IF(A235="","",VLOOKUP($A233,IF(LEN(A235)=2,WSB,WSA),VLOOKUP(LEFT(A235,1),Teams,6,FALSE),FALSE))</f>
        <v>Maddy Williams </v>
      </c>
      <c r="D235" s="26" t="str">
        <f>IF(A235="","",VLOOKUP($A233,IF(LEN(A235)=2,WSB,WSA),VLOOKUP(LEFT(A235,1),Teams,7,FALSE),FALSE))</f>
        <v>U17</v>
      </c>
      <c r="E235" s="26" t="str">
        <f>IF(A235="","",VLOOKUP(LEFT(A235,1),Teams,2,FALSE))</f>
        <v>Team Dorset</v>
      </c>
      <c r="F235" s="94" t="s">
        <v>207</v>
      </c>
      <c r="G235" s="95">
        <v>3</v>
      </c>
      <c r="H235" s="14"/>
      <c r="I235" s="35">
        <f>IF(OR(F235="",TEXT(F235,"[s].0")-VLOOKUP($A233,WAWstandards,12,FALSE)&gt;0),0,INT(VLOOKUP($A233,WAWstandards,11,FALSE)*(VLOOKUP($A233,WAWstandards,12,FALSE)-TEXT(F235,"[s].0"))^VLOOKUP($A233,WAWstandards,13,FALSE)+0.5))</f>
        <v>463</v>
      </c>
      <c r="J235" s="32">
        <f>IF(F235="","",IF(F235-VLOOKUP($A233,WAWstandards,VLOOKUP(D235,Wage,2,FALSE),FALSE)&gt;0,"","aw"))</f>
      </c>
      <c r="K235" s="39">
        <f aca="true" t="shared" si="35" ref="K235:N237">IF($A235="","",IF(LEFT($A235,1)=K$8,$G235,""))</f>
      </c>
      <c r="L235" s="39">
        <f t="shared" si="35"/>
      </c>
      <c r="M235" s="39">
        <f t="shared" si="35"/>
        <v>3</v>
      </c>
      <c r="N235" s="39">
        <f t="shared" si="35"/>
      </c>
      <c r="O235" s="39"/>
      <c r="P235" s="35"/>
      <c r="R235" t="s">
        <v>795</v>
      </c>
    </row>
    <row r="236" spans="1:18" ht="12.75">
      <c r="A236" s="92" t="s">
        <v>322</v>
      </c>
      <c r="B236" s="109">
        <v>3</v>
      </c>
      <c r="C236" s="26" t="str">
        <f>IF(A236="","",VLOOKUP($A233,IF(LEN(A236)=2,WSB,WSA),VLOOKUP(LEFT(A236,1),Teams,6,FALSE),FALSE))</f>
        <v>Hannah Czarnowski</v>
      </c>
      <c r="D236" s="26" t="str">
        <f>IF(A236="","",VLOOKUP($A233,IF(LEN(A236)=2,WSB,WSA),VLOOKUP(LEFT(A236,1),Teams,7,FALSE),FALSE))</f>
        <v>U17</v>
      </c>
      <c r="E236" s="26" t="str">
        <f>IF(A236="","",VLOOKUP(LEFT(A236,1),Teams,2,FALSE))</f>
        <v>Tonbridge</v>
      </c>
      <c r="F236" s="94" t="s">
        <v>208</v>
      </c>
      <c r="G236" s="95">
        <v>2</v>
      </c>
      <c r="H236" s="14"/>
      <c r="I236" s="35">
        <f>IF(OR(F236="",TEXT(F236,"[s].0")-VLOOKUP($A233,WAWstandards,12,FALSE)&gt;0),0,INT(VLOOKUP($A233,WAWstandards,11,FALSE)*(VLOOKUP($A233,WAWstandards,12,FALSE)-TEXT(F236,"[s].0"))^VLOOKUP($A233,WAWstandards,13,FALSE)+0.5))</f>
        <v>385</v>
      </c>
      <c r="J236" s="32">
        <f>IF(F236="","",IF(F236-VLOOKUP($A233,WAWstandards,VLOOKUP(D236,Wage,2,FALSE),FALSE)&gt;0,"","aw"))</f>
      </c>
      <c r="K236" s="39">
        <f t="shared" si="35"/>
      </c>
      <c r="L236" s="39">
        <f t="shared" si="35"/>
      </c>
      <c r="M236" s="39">
        <f t="shared" si="35"/>
      </c>
      <c r="N236" s="39">
        <f t="shared" si="35"/>
        <v>2</v>
      </c>
      <c r="O236" s="39"/>
      <c r="P236" s="35"/>
      <c r="R236" t="s">
        <v>795</v>
      </c>
    </row>
    <row r="237" spans="1:18" ht="12.75">
      <c r="A237" s="92" t="s">
        <v>315</v>
      </c>
      <c r="B237" s="109">
        <v>4</v>
      </c>
      <c r="C237" s="26" t="str">
        <f>IF(A237="","",VLOOKUP($A233,IF(LEN(A237)=2,WSB,WSA),VLOOKUP(LEFT(A237,1),Teams,6,FALSE),FALSE))</f>
        <v>Rebecca Healey</v>
      </c>
      <c r="D237" s="26" t="str">
        <f>IF(A237="","",VLOOKUP($A233,IF(LEN(A237)=2,WSB,WSA),VLOOKUP(LEFT(A237,1),Teams,7,FALSE),FALSE))</f>
        <v>SW</v>
      </c>
      <c r="E237" s="26" t="str">
        <f>IF(A237="","",VLOOKUP(LEFT(A237,1),Teams,2,FALSE))</f>
        <v>Crawley</v>
      </c>
      <c r="F237" s="94" t="s">
        <v>209</v>
      </c>
      <c r="G237" s="95">
        <v>1</v>
      </c>
      <c r="H237" s="14"/>
      <c r="I237" s="35">
        <f>IF(OR(F237="",TEXT(F237,"[s].0")-VLOOKUP($A233,WAWstandards,12,FALSE)&gt;0),0,INT(VLOOKUP($A233,WAWstandards,11,FALSE)*(VLOOKUP($A233,WAWstandards,12,FALSE)-TEXT(F237,"[s].0"))^VLOOKUP($A233,WAWstandards,13,FALSE)+0.5))</f>
        <v>2</v>
      </c>
      <c r="J237" s="32">
        <f>IF(F237="","",IF(F237-VLOOKUP($A233,WAWstandards,VLOOKUP(D237,Wage,2,FALSE),FALSE)&gt;0,"","aw"))</f>
      </c>
      <c r="K237" s="39">
        <f t="shared" si="35"/>
      </c>
      <c r="L237" s="39">
        <f t="shared" si="35"/>
        <v>1</v>
      </c>
      <c r="M237" s="39">
        <f t="shared" si="35"/>
      </c>
      <c r="N237" s="39">
        <f t="shared" si="35"/>
      </c>
      <c r="O237" s="39">
        <f>10-SUM(K234:N237)</f>
        <v>0</v>
      </c>
      <c r="P237" s="35"/>
      <c r="R237" t="s">
        <v>795</v>
      </c>
    </row>
    <row r="238" spans="1:16" ht="12.75">
      <c r="A238" s="105" t="s">
        <v>857</v>
      </c>
      <c r="B238" s="17"/>
      <c r="C238" s="28" t="s">
        <v>734</v>
      </c>
      <c r="D238" s="28"/>
      <c r="E238" s="29"/>
      <c r="F238" s="9"/>
      <c r="G238" s="42"/>
      <c r="H238" s="14"/>
      <c r="I238" s="35"/>
      <c r="J238" s="40"/>
      <c r="K238" s="39"/>
      <c r="L238" s="39"/>
      <c r="M238" s="39"/>
      <c r="N238" s="39"/>
      <c r="O238" s="39"/>
      <c r="P238" s="35" t="s">
        <v>737</v>
      </c>
    </row>
    <row r="239" spans="1:18" ht="12.75">
      <c r="A239" s="92" t="s">
        <v>611</v>
      </c>
      <c r="B239" s="109">
        <v>1</v>
      </c>
      <c r="C239" s="26" t="str">
        <f>IF(A239="","",VLOOKUP($A238,IF(LEN(A239)=2,WSB,WSA),VLOOKUP(LEFT(A239,1),Teams,6,FALSE),FALSE))</f>
        <v>Emily Alden</v>
      </c>
      <c r="D239" s="26" t="str">
        <f>IF(A239="","",VLOOKUP($A238,IF(LEN(A239)=2,WSB,WSA),VLOOKUP(LEFT(A239,1),Teams,7,FALSE),FALSE))</f>
        <v>SW</v>
      </c>
      <c r="E239" s="26" t="str">
        <f>IF(A239="","",VLOOKUP(LEFT(A239,1),Teams,2,FALSE))</f>
        <v>Epsom &amp; Ewell</v>
      </c>
      <c r="F239" s="94" t="s">
        <v>142</v>
      </c>
      <c r="G239" s="95">
        <v>4</v>
      </c>
      <c r="H239" s="14"/>
      <c r="I239" s="35">
        <f>IF(OR(F239="",TEXT(F239,"[s].0")-VLOOKUP($A238,WAWstandards,12,FALSE)&gt;0),0,INT(VLOOKUP($A238,WAWstandards,11,FALSE)*(VLOOKUP($A238,WAWstandards,12,FALSE)-TEXT(F239,"[s].0"))^VLOOKUP($A238,WAWstandards,13,FALSE)+0.5))</f>
        <v>616</v>
      </c>
      <c r="J239" s="32" t="str">
        <f>IF(F239="","",IF(F239-VLOOKUP($A238,WAWstandards,VLOOKUP(D239,Wage,2,FALSE),FALSE)&gt;0,"","aw"))</f>
        <v>aw</v>
      </c>
      <c r="K239" s="39">
        <f aca="true" t="shared" si="36" ref="K239:N242">IF($A239="","",IF(LEFT($A239,1)=K$8,$G239,""))</f>
        <v>4</v>
      </c>
      <c r="L239" s="39">
        <f t="shared" si="36"/>
      </c>
      <c r="M239" s="39">
        <f t="shared" si="36"/>
      </c>
      <c r="N239" s="39">
        <f t="shared" si="36"/>
      </c>
      <c r="O239" s="39"/>
      <c r="P239" s="35"/>
      <c r="R239" t="s">
        <v>798</v>
      </c>
    </row>
    <row r="240" spans="1:18" ht="12.75">
      <c r="A240" s="92" t="s">
        <v>616</v>
      </c>
      <c r="B240" s="109">
        <v>2</v>
      </c>
      <c r="C240" s="26" t="str">
        <f>IF(A240="","",VLOOKUP($A238,IF(LEN(A240)=2,WSB,WSA),VLOOKUP(LEFT(A240,1),Teams,6,FALSE),FALSE))</f>
        <v>Sarah Orr</v>
      </c>
      <c r="D240" s="26" t="str">
        <f>IF(A240="","",VLOOKUP($A238,IF(LEN(A240)=2,WSB,WSA),VLOOKUP(LEFT(A240,1),Teams,7,FALSE),FALSE))</f>
        <v>W40</v>
      </c>
      <c r="E240" s="26" t="str">
        <f>IF(A240="","",VLOOKUP(LEFT(A240,1),Teams,2,FALSE))</f>
        <v>Team Dorset</v>
      </c>
      <c r="F240" s="94" t="s">
        <v>143</v>
      </c>
      <c r="G240" s="95">
        <v>3</v>
      </c>
      <c r="H240" s="14"/>
      <c r="I240" s="35">
        <f>IF(OR(F240="",TEXT(F240,"[s].0")-VLOOKUP($A238,WAWstandards,12,FALSE)&gt;0),0,INT(VLOOKUP($A238,WAWstandards,11,FALSE)*(VLOOKUP($A238,WAWstandards,12,FALSE)-TEXT(F240,"[s].0"))^VLOOKUP($A238,WAWstandards,13,FALSE)+0.5))</f>
        <v>415</v>
      </c>
      <c r="J240" s="32">
        <f>IF(F240="","",IF(F240-VLOOKUP($A238,WAWstandards,VLOOKUP(D240,Wage,2,FALSE),FALSE)&gt;0,"","aw"))</f>
      </c>
      <c r="K240" s="39">
        <f t="shared" si="36"/>
      </c>
      <c r="L240" s="39">
        <f t="shared" si="36"/>
      </c>
      <c r="M240" s="39">
        <f t="shared" si="36"/>
        <v>3</v>
      </c>
      <c r="N240" s="39">
        <f t="shared" si="36"/>
      </c>
      <c r="O240" s="39"/>
      <c r="P240" s="35"/>
      <c r="R240" t="s">
        <v>798</v>
      </c>
    </row>
    <row r="241" spans="1:18" ht="12.75">
      <c r="A241" s="92" t="s">
        <v>322</v>
      </c>
      <c r="B241" s="109">
        <v>3</v>
      </c>
      <c r="C241" s="26" t="str">
        <f>IF(A241="","",VLOOKUP($A238,IF(LEN(A241)=2,WSB,WSA),VLOOKUP(LEFT(A241,1),Teams,6,FALSE),FALSE))</f>
        <v>Jayne Mallyon</v>
      </c>
      <c r="D241" s="26" t="str">
        <f>IF(A241="","",VLOOKUP($A238,IF(LEN(A241)=2,WSB,WSA),VLOOKUP(LEFT(A241,1),Teams,7,FALSE),FALSE))</f>
        <v>SW</v>
      </c>
      <c r="E241" s="26" t="str">
        <f>IF(A241="","",VLOOKUP(LEFT(A241,1),Teams,2,FALSE))</f>
        <v>Tonbridge</v>
      </c>
      <c r="F241" s="94" t="s">
        <v>145</v>
      </c>
      <c r="G241" s="95">
        <v>2</v>
      </c>
      <c r="H241" s="14"/>
      <c r="I241" s="35">
        <f>IF(OR(F241="",TEXT(F241,"[s].0")-VLOOKUP($A238,WAWstandards,12,FALSE)&gt;0),0,INT(VLOOKUP($A238,WAWstandards,11,FALSE)*(VLOOKUP($A238,WAWstandards,12,FALSE)-TEXT(F241,"[s].0"))^VLOOKUP($A238,WAWstandards,13,FALSE)+0.5))</f>
        <v>387</v>
      </c>
      <c r="J241" s="32">
        <f>IF(F241="","",IF(F241-VLOOKUP($A238,WAWstandards,VLOOKUP(D241,Wage,2,FALSE),FALSE)&gt;0,"","aw"))</f>
      </c>
      <c r="K241" s="39">
        <f t="shared" si="36"/>
      </c>
      <c r="L241" s="39">
        <f t="shared" si="36"/>
      </c>
      <c r="M241" s="39">
        <f t="shared" si="36"/>
      </c>
      <c r="N241" s="39">
        <f t="shared" si="36"/>
        <v>2</v>
      </c>
      <c r="O241" s="39"/>
      <c r="P241" s="35"/>
      <c r="R241" t="s">
        <v>798</v>
      </c>
    </row>
    <row r="242" spans="1:18" ht="12.75">
      <c r="A242" s="92"/>
      <c r="B242" s="109">
        <v>4</v>
      </c>
      <c r="C242" s="26">
        <f>IF(A242="","",VLOOKUP($A238,IF(LEN(A242)=2,WSB,WSA),VLOOKUP(LEFT(A242,1),Teams,6,FALSE),FALSE))</f>
      </c>
      <c r="D242" s="26">
        <f>IF(A242="","",VLOOKUP($A238,IF(LEN(A242)=2,WSB,WSA),VLOOKUP(LEFT(A242,1),Teams,7,FALSE),FALSE))</f>
      </c>
      <c r="E242" s="26">
        <f>IF(A242="","",VLOOKUP(LEFT(A242,1),Teams,2,FALSE))</f>
      </c>
      <c r="F242" s="94"/>
      <c r="G242" s="95">
        <v>1</v>
      </c>
      <c r="H242" s="14"/>
      <c r="I242" s="35">
        <f>IF(OR(F242="",TEXT(F242,"[s].0")-VLOOKUP($A238,WAWstandards,12,FALSE)&gt;0),0,INT(VLOOKUP($A238,WAWstandards,11,FALSE)*(VLOOKUP($A238,WAWstandards,12,FALSE)-TEXT(F242,"[s].0"))^VLOOKUP($A238,WAWstandards,13,FALSE)+0.5))</f>
        <v>0</v>
      </c>
      <c r="J242" s="32">
        <f>IF(F242="","",IF(F242-VLOOKUP($A238,WAWstandards,VLOOKUP(D242,Wage,2,FALSE),FALSE)&gt;0,"","aw"))</f>
      </c>
      <c r="K242" s="39">
        <f t="shared" si="36"/>
      </c>
      <c r="L242" s="39">
        <f t="shared" si="36"/>
      </c>
      <c r="M242" s="39">
        <f t="shared" si="36"/>
      </c>
      <c r="N242" s="39">
        <f t="shared" si="36"/>
      </c>
      <c r="O242" s="39">
        <f>10-SUM(K239:N242)</f>
        <v>1</v>
      </c>
      <c r="P242" s="35"/>
      <c r="R242" t="s">
        <v>798</v>
      </c>
    </row>
    <row r="243" spans="1:16" ht="12.75">
      <c r="A243" s="105" t="s">
        <v>857</v>
      </c>
      <c r="B243" s="17"/>
      <c r="C243" s="27" t="s">
        <v>735</v>
      </c>
      <c r="D243" s="28"/>
      <c r="E243" s="29"/>
      <c r="F243" s="9"/>
      <c r="G243" s="42"/>
      <c r="H243" s="14"/>
      <c r="I243" s="35"/>
      <c r="J243" s="40"/>
      <c r="K243" s="39"/>
      <c r="L243" s="39"/>
      <c r="M243" s="39"/>
      <c r="N243" s="39"/>
      <c r="O243" s="39"/>
      <c r="P243" s="35" t="s">
        <v>736</v>
      </c>
    </row>
    <row r="244" spans="1:18" ht="12.75">
      <c r="A244" s="92" t="s">
        <v>327</v>
      </c>
      <c r="B244" s="109">
        <v>1</v>
      </c>
      <c r="C244" s="26" t="str">
        <f>IF(A244="","",VLOOKUP($A243,IF(LEN(A244)=2,WSB,WSA),VLOOKUP(LEFT(A244,1),Teams,6,FALSE),FALSE))</f>
        <v>Emily Hale</v>
      </c>
      <c r="D244" s="26" t="str">
        <f>IF(A244="","",VLOOKUP($A243,IF(LEN(A244)=2,WSB,WSA),VLOOKUP(LEFT(A244,1),Teams,7,FALSE),FALSE))</f>
        <v>U20</v>
      </c>
      <c r="E244" s="26" t="str">
        <f>IF(A244="","",VLOOKUP(LEFT(A244,1),Teams,2,FALSE))</f>
        <v>Tonbridge</v>
      </c>
      <c r="F244" s="94" t="s">
        <v>144</v>
      </c>
      <c r="G244" s="95">
        <v>4</v>
      </c>
      <c r="H244" s="14"/>
      <c r="I244" s="35">
        <f>IF(OR(F244="",TEXT(F244,"[s].0")-VLOOKUP($A243,WAWstandards,12,FALSE)&gt;0),0,INT(VLOOKUP($A243,WAWstandards,11,FALSE)*(VLOOKUP($A243,WAWstandards,12,FALSE)-TEXT(F244,"[s].0"))^VLOOKUP($A243,WAWstandards,13,FALSE)+0.5))</f>
        <v>206</v>
      </c>
      <c r="J244" s="32">
        <f>IF(F244="","",IF(F244-VLOOKUP($A243,WAWstandards,VLOOKUP(D244,Wage,2,FALSE),FALSE)&gt;0,"","aw"))</f>
      </c>
      <c r="K244" s="39">
        <f aca="true" t="shared" si="37" ref="K244:N247">IF($A244="","",IF(LEFT($A244,1)=K$8,$G244,""))</f>
      </c>
      <c r="L244" s="39">
        <f t="shared" si="37"/>
      </c>
      <c r="M244" s="39">
        <f t="shared" si="37"/>
      </c>
      <c r="N244" s="39">
        <f t="shared" si="37"/>
        <v>4</v>
      </c>
      <c r="O244" s="39"/>
      <c r="P244" s="35"/>
      <c r="R244" t="s">
        <v>798</v>
      </c>
    </row>
    <row r="245" spans="1:18" ht="12.75">
      <c r="A245" s="92" t="s">
        <v>141</v>
      </c>
      <c r="B245" s="109">
        <v>2</v>
      </c>
      <c r="C245" s="26" t="str">
        <f>IF(A245="","",VLOOKUP($A243,IF(LEN(A245)=2,WSB,WSA),VLOOKUP(LEFT(A245,1),Teams,6,FALSE),FALSE))</f>
        <v>Charlotte Mason</v>
      </c>
      <c r="D245" s="26" t="str">
        <f>IF(A245="","",VLOOKUP($A243,IF(LEN(A245)=2,WSB,WSA),VLOOKUP(LEFT(A245,1),Teams,7,FALSE),FALSE))</f>
        <v>SW</v>
      </c>
      <c r="E245" s="26" t="str">
        <f>IF(A245="","",VLOOKUP(LEFT(A245,1),Teams,2,FALSE))</f>
        <v>Epsom &amp; Ewell</v>
      </c>
      <c r="F245" s="94" t="s">
        <v>146</v>
      </c>
      <c r="G245" s="95">
        <v>3</v>
      </c>
      <c r="H245" s="14"/>
      <c r="I245" s="35">
        <f>IF(OR(F245="",TEXT(F245,"[s].0")-VLOOKUP($A243,WAWstandards,12,FALSE)&gt;0),0,INT(VLOOKUP($A243,WAWstandards,11,FALSE)*(VLOOKUP($A243,WAWstandards,12,FALSE)-TEXT(F245,"[s].0"))^VLOOKUP($A243,WAWstandards,13,FALSE)+0.5))</f>
        <v>140</v>
      </c>
      <c r="J245" s="32">
        <f>IF(F245="","",IF(F245-VLOOKUP($A243,WAWstandards,VLOOKUP(D245,Wage,2,FALSE),FALSE)&gt;0,"","aw"))</f>
      </c>
      <c r="K245" s="39">
        <f t="shared" si="37"/>
        <v>3</v>
      </c>
      <c r="L245" s="39">
        <f t="shared" si="37"/>
      </c>
      <c r="M245" s="39">
        <f t="shared" si="37"/>
      </c>
      <c r="N245" s="39">
        <f t="shared" si="37"/>
      </c>
      <c r="O245" s="39"/>
      <c r="P245" s="35"/>
      <c r="R245" t="s">
        <v>798</v>
      </c>
    </row>
    <row r="246" spans="1:18" ht="12.75">
      <c r="A246" s="92"/>
      <c r="B246" s="109">
        <v>3</v>
      </c>
      <c r="C246" s="26">
        <f>IF(A246="","",VLOOKUP($A243,IF(LEN(A246)=2,WSB,WSA),VLOOKUP(LEFT(A246,1),Teams,6,FALSE),FALSE))</f>
      </c>
      <c r="D246" s="26">
        <f>IF(A246="","",VLOOKUP($A243,IF(LEN(A246)=2,WSB,WSA),VLOOKUP(LEFT(A246,1),Teams,7,FALSE),FALSE))</f>
      </c>
      <c r="E246" s="26">
        <f>IF(A246="","",VLOOKUP(LEFT(A246,1),Teams,2,FALSE))</f>
      </c>
      <c r="F246" s="94"/>
      <c r="G246" s="95">
        <v>2</v>
      </c>
      <c r="H246" s="14"/>
      <c r="I246" s="35">
        <f>IF(OR(F246="",TEXT(F246,"[s].0")-VLOOKUP($A243,WAWstandards,12,FALSE)&gt;0),0,INT(VLOOKUP($A243,WAWstandards,11,FALSE)*(VLOOKUP($A243,WAWstandards,12,FALSE)-TEXT(F246,"[s].0"))^VLOOKUP($A243,WAWstandards,13,FALSE)+0.5))</f>
        <v>0</v>
      </c>
      <c r="J246" s="32">
        <f>IF(F246="","",IF(F246-VLOOKUP($A243,WAWstandards,VLOOKUP(D246,Wage,2,FALSE),FALSE)&gt;0,"","aw"))</f>
      </c>
      <c r="K246" s="39">
        <f t="shared" si="37"/>
      </c>
      <c r="L246" s="39">
        <f t="shared" si="37"/>
      </c>
      <c r="M246" s="39">
        <f t="shared" si="37"/>
      </c>
      <c r="N246" s="39">
        <f t="shared" si="37"/>
      </c>
      <c r="O246" s="39"/>
      <c r="P246" s="35"/>
      <c r="R246" t="s">
        <v>798</v>
      </c>
    </row>
    <row r="247" spans="1:18" ht="12.75">
      <c r="A247" s="92"/>
      <c r="B247" s="109">
        <v>4</v>
      </c>
      <c r="C247" s="26">
        <f>IF(A247="","",VLOOKUP($A243,IF(LEN(A247)=2,WSB,WSA),VLOOKUP(LEFT(A247,1),Teams,6,FALSE),FALSE))</f>
      </c>
      <c r="D247" s="26">
        <f>IF(A247="","",VLOOKUP($A243,IF(LEN(A247)=2,WSB,WSA),VLOOKUP(LEFT(A247,1),Teams,7,FALSE),FALSE))</f>
      </c>
      <c r="E247" s="26">
        <f>IF(A247="","",VLOOKUP(LEFT(A247,1),Teams,2,FALSE))</f>
      </c>
      <c r="F247" s="94"/>
      <c r="G247" s="95">
        <v>1</v>
      </c>
      <c r="H247" s="14"/>
      <c r="I247" s="35">
        <f>IF(OR(F247="",TEXT(F247,"[s].0")-VLOOKUP($A243,WAWstandards,12,FALSE)&gt;0),0,INT(VLOOKUP($A243,WAWstandards,11,FALSE)*(VLOOKUP($A243,WAWstandards,12,FALSE)-TEXT(F247,"[s].0"))^VLOOKUP($A243,WAWstandards,13,FALSE)+0.5))</f>
        <v>0</v>
      </c>
      <c r="J247" s="32">
        <f>IF(F247="","",IF(F247-VLOOKUP($A243,WAWstandards,VLOOKUP(D247,Wage,2,FALSE),FALSE)&gt;0,"","aw"))</f>
      </c>
      <c r="K247" s="39">
        <f t="shared" si="37"/>
      </c>
      <c r="L247" s="39">
        <f t="shared" si="37"/>
      </c>
      <c r="M247" s="39">
        <f t="shared" si="37"/>
      </c>
      <c r="N247" s="39">
        <f t="shared" si="37"/>
      </c>
      <c r="O247" s="39">
        <f>10-SUM(K244:N247)</f>
        <v>3</v>
      </c>
      <c r="P247" s="35"/>
      <c r="R247" t="s">
        <v>798</v>
      </c>
    </row>
    <row r="248" spans="1:16" ht="12.75">
      <c r="A248" s="106" t="s">
        <v>860</v>
      </c>
      <c r="B248" s="17"/>
      <c r="C248" s="27" t="s">
        <v>738</v>
      </c>
      <c r="D248" s="28" t="s">
        <v>963</v>
      </c>
      <c r="E248" s="93"/>
      <c r="F248" s="9"/>
      <c r="G248" s="42"/>
      <c r="H248" s="14"/>
      <c r="I248" s="35"/>
      <c r="J248" s="35"/>
      <c r="K248" s="39"/>
      <c r="L248" s="39"/>
      <c r="M248" s="39"/>
      <c r="N248" s="39"/>
      <c r="O248" s="39"/>
      <c r="P248" s="35" t="s">
        <v>732</v>
      </c>
    </row>
    <row r="249" spans="1:18" ht="12.75">
      <c r="A249" s="92" t="s">
        <v>315</v>
      </c>
      <c r="B249" s="109">
        <v>1</v>
      </c>
      <c r="C249" s="26" t="str">
        <f>IF(A249="","",VLOOKUP($A248,IF(LEN(A249)=2,WSB,WSA),VLOOKUP(LEFT(A249,1),Teams,6,FALSE),FALSE))</f>
        <v>Jo Rowland</v>
      </c>
      <c r="D249" s="26" t="str">
        <f>IF(A249="","",VLOOKUP($A248,IF(LEN(A249)=2,WSB,WSA),VLOOKUP(LEFT(A249,1),Teams,7,FALSE),FALSE))</f>
        <v>SW</v>
      </c>
      <c r="E249" s="26" t="str">
        <f>IF(A249="","",VLOOKUP(LEFT(A249,1),Teams,2,FALSE))</f>
        <v>Crawley</v>
      </c>
      <c r="F249" s="94" t="s">
        <v>147</v>
      </c>
      <c r="G249" s="95">
        <v>4</v>
      </c>
      <c r="H249" s="14"/>
      <c r="I249" s="35">
        <f>IF(OR(F249="",F249-VLOOKUP($A248,WAWstandards,12,FALSE)&gt;0),0,INT(VLOOKUP($A248,WAWstandards,11,FALSE)*(VLOOKUP($A248,WAWstandards,12,FALSE)-F249)^VLOOKUP($A248,WAWstandards,13,FALSE)+0.5))</f>
        <v>778</v>
      </c>
      <c r="J249" s="32" t="str">
        <f>IF(F249="","",IF(F249-VLOOKUP($A248,WAWstandards,VLOOKUP(D249,Wage,2,FALSE),FALSE)&gt;0,"","aw"))</f>
        <v>aw</v>
      </c>
      <c r="K249" s="39">
        <f aca="true" t="shared" si="38" ref="K249:N252">IF($A249="","",IF(LEFT($A249,1)=K$8,$G249,""))</f>
      </c>
      <c r="L249" s="39">
        <f t="shared" si="38"/>
        <v>4</v>
      </c>
      <c r="M249" s="39">
        <f t="shared" si="38"/>
      </c>
      <c r="N249" s="39">
        <f t="shared" si="38"/>
      </c>
      <c r="O249" s="39"/>
      <c r="P249" s="35"/>
      <c r="R249" t="s">
        <v>794</v>
      </c>
    </row>
    <row r="250" spans="1:18" ht="12.75">
      <c r="A250" s="92" t="s">
        <v>327</v>
      </c>
      <c r="B250" s="109">
        <v>2</v>
      </c>
      <c r="C250" s="26" t="str">
        <f>IF(A250="","",VLOOKUP($A248,IF(LEN(A250)=2,WSB,WSA),VLOOKUP(LEFT(A250,1),Teams,6,FALSE),FALSE))</f>
        <v>Laura Baliman</v>
      </c>
      <c r="D250" s="26" t="str">
        <f>IF(A250="","",VLOOKUP($A248,IF(LEN(A250)=2,WSB,WSA),VLOOKUP(LEFT(A250,1),Teams,7,FALSE),FALSE))</f>
        <v>U17</v>
      </c>
      <c r="E250" s="26" t="str">
        <f>IF(A250="","",VLOOKUP(LEFT(A250,1),Teams,2,FALSE))</f>
        <v>Tonbridge</v>
      </c>
      <c r="F250" s="94" t="s">
        <v>149</v>
      </c>
      <c r="G250" s="95">
        <v>3</v>
      </c>
      <c r="H250" s="14"/>
      <c r="I250" s="35">
        <f>IF(OR(F250="",F250-VLOOKUP($A248,WAWstandards,12,FALSE)&gt;0),0,INT(VLOOKUP($A248,WAWstandards,11,FALSE)*(VLOOKUP($A248,WAWstandards,12,FALSE)-F250)^VLOOKUP($A248,WAWstandards,13,FALSE)+0.5))</f>
        <v>466</v>
      </c>
      <c r="J250" s="32">
        <f>IF(F250="","",IF(F250-VLOOKUP($A248,WAWstandards,VLOOKUP(D250,Wage,2,FALSE),FALSE)&gt;0,"","aw"))</f>
      </c>
      <c r="K250" s="39">
        <f t="shared" si="38"/>
      </c>
      <c r="L250" s="39">
        <f t="shared" si="38"/>
      </c>
      <c r="M250" s="39">
        <f t="shared" si="38"/>
      </c>
      <c r="N250" s="39">
        <f t="shared" si="38"/>
        <v>3</v>
      </c>
      <c r="O250" s="39"/>
      <c r="P250" s="35"/>
      <c r="R250" t="s">
        <v>794</v>
      </c>
    </row>
    <row r="251" spans="1:18" ht="12.75">
      <c r="A251" s="92" t="s">
        <v>312</v>
      </c>
      <c r="B251" s="109">
        <v>3</v>
      </c>
      <c r="C251" s="26" t="str">
        <f>IF(A251="","",VLOOKUP($A248,IF(LEN(A251)=2,WSB,WSA),VLOOKUP(LEFT(A251,1),Teams,6,FALSE),FALSE))</f>
        <v>Lizzie Thompson</v>
      </c>
      <c r="D251" s="26" t="str">
        <f>IF(A251="","",VLOOKUP($A248,IF(LEN(A251)=2,WSB,WSA),VLOOKUP(LEFT(A251,1),Teams,7,FALSE),FALSE))</f>
        <v>SW</v>
      </c>
      <c r="E251" s="26" t="str">
        <f>IF(A251="","",VLOOKUP(LEFT(A251,1),Teams,2,FALSE))</f>
        <v>Epsom &amp; Ewell</v>
      </c>
      <c r="F251" s="94" t="s">
        <v>150</v>
      </c>
      <c r="G251" s="95">
        <v>2</v>
      </c>
      <c r="H251" s="14"/>
      <c r="I251" s="35">
        <f>IF(OR(F251="",F251-VLOOKUP($A248,WAWstandards,12,FALSE)&gt;0),0,INT(VLOOKUP($A248,WAWstandards,11,FALSE)*(VLOOKUP($A248,WAWstandards,12,FALSE)-F251)^VLOOKUP($A248,WAWstandards,13,FALSE)+0.5))</f>
        <v>450</v>
      </c>
      <c r="J251" s="32">
        <f>IF(F251="","",IF(F251-VLOOKUP($A248,WAWstandards,VLOOKUP(D251,Wage,2,FALSE),FALSE)&gt;0,"","aw"))</f>
      </c>
      <c r="K251" s="39">
        <f t="shared" si="38"/>
        <v>2</v>
      </c>
      <c r="L251" s="39">
        <f t="shared" si="38"/>
      </c>
      <c r="M251" s="39">
        <f t="shared" si="38"/>
      </c>
      <c r="N251" s="39">
        <f t="shared" si="38"/>
      </c>
      <c r="O251" s="39"/>
      <c r="P251" s="35"/>
      <c r="R251" t="s">
        <v>794</v>
      </c>
    </row>
    <row r="252" spans="1:18" ht="12.75">
      <c r="A252" s="92"/>
      <c r="B252" s="109">
        <v>4</v>
      </c>
      <c r="C252" s="26">
        <f>IF(A252="","",VLOOKUP($A248,IF(LEN(A252)=2,WSB,WSA),VLOOKUP(LEFT(A252,1),Teams,6,FALSE),FALSE))</f>
      </c>
      <c r="D252" s="26">
        <f>IF(A252="","",VLOOKUP($A248,IF(LEN(A252)=2,WSB,WSA),VLOOKUP(LEFT(A252,1),Teams,7,FALSE),FALSE))</f>
      </c>
      <c r="E252" s="26">
        <f>IF(A252="","",VLOOKUP(LEFT(A252,1),Teams,2,FALSE))</f>
      </c>
      <c r="F252" s="94"/>
      <c r="G252" s="95">
        <v>1</v>
      </c>
      <c r="H252" s="14"/>
      <c r="I252" s="35">
        <f>IF(OR(F252="",F252-VLOOKUP($A248,WAWstandards,12,FALSE)&gt;0),0,INT(VLOOKUP($A248,WAWstandards,11,FALSE)*(VLOOKUP($A248,WAWstandards,12,FALSE)-F252)^VLOOKUP($A248,WAWstandards,13,FALSE)+0.5))</f>
        <v>0</v>
      </c>
      <c r="J252" s="32">
        <f>IF(F252="","",IF(F252-VLOOKUP($A248,WAWstandards,VLOOKUP(D252,Wage,2,FALSE),FALSE)&gt;0,"","aw"))</f>
      </c>
      <c r="K252" s="39">
        <f t="shared" si="38"/>
      </c>
      <c r="L252" s="39">
        <f t="shared" si="38"/>
      </c>
      <c r="M252" s="39">
        <f t="shared" si="38"/>
      </c>
      <c r="N252" s="39">
        <f t="shared" si="38"/>
      </c>
      <c r="O252" s="39">
        <f>10-SUM(K249:N252)</f>
        <v>1</v>
      </c>
      <c r="P252" s="35"/>
      <c r="R252" t="s">
        <v>794</v>
      </c>
    </row>
    <row r="253" spans="1:16" ht="12.75">
      <c r="A253" s="106" t="s">
        <v>860</v>
      </c>
      <c r="B253" s="17"/>
      <c r="C253" s="27" t="s">
        <v>739</v>
      </c>
      <c r="D253" s="28" t="s">
        <v>963</v>
      </c>
      <c r="E253" s="93"/>
      <c r="F253" s="9"/>
      <c r="G253" s="42"/>
      <c r="H253" s="14"/>
      <c r="I253" s="35"/>
      <c r="J253" s="35"/>
      <c r="K253" s="39"/>
      <c r="L253" s="39"/>
      <c r="M253" s="39"/>
      <c r="N253" s="39"/>
      <c r="O253" s="39"/>
      <c r="P253" s="35" t="s">
        <v>733</v>
      </c>
    </row>
    <row r="254" spans="1:18" ht="12.75">
      <c r="A254" s="92" t="s">
        <v>321</v>
      </c>
      <c r="B254" s="109">
        <v>1</v>
      </c>
      <c r="C254" s="26" t="str">
        <f>IF(A254="","",VLOOKUP($A253,IF(LEN(A254)=2,WSB,WSA),VLOOKUP(LEFT(A254,1),Teams,6,FALSE),FALSE))</f>
        <v>Becky Owen</v>
      </c>
      <c r="D254" s="26" t="str">
        <f>IF(A254="","",VLOOKUP($A253,IF(LEN(A254)=2,WSB,WSA),VLOOKUP(LEFT(A254,1),Teams,7,FALSE),FALSE))</f>
        <v>SW</v>
      </c>
      <c r="E254" s="26" t="str">
        <f>IF(A254="","",VLOOKUP(LEFT(A254,1),Teams,2,FALSE))</f>
        <v>Crawley</v>
      </c>
      <c r="F254" s="94" t="s">
        <v>148</v>
      </c>
      <c r="G254" s="95">
        <v>4</v>
      </c>
      <c r="H254" s="14"/>
      <c r="I254" s="35">
        <f>IF(OR(F254="",F254-VLOOKUP($A253,WAWstandards,12,FALSE)&gt;0),0,INT(VLOOKUP($A253,WAWstandards,11,FALSE)*(VLOOKUP($A253,WAWstandards,12,FALSE)-F254)^VLOOKUP($A253,WAWstandards,13,FALSE)+0.5))</f>
        <v>559</v>
      </c>
      <c r="J254" s="32" t="str">
        <f>IF(F254="","",IF(F254-VLOOKUP($A253,WAWstandards,VLOOKUP(D254,Wage,2,FALSE),FALSE)&gt;0,"","aw"))</f>
        <v>aw</v>
      </c>
      <c r="K254" s="39">
        <f aca="true" t="shared" si="39" ref="K254:N257">IF($A254="","",IF(LEFT($A254,1)=K$8,$G254,""))</f>
      </c>
      <c r="L254" s="39">
        <f t="shared" si="39"/>
        <v>4</v>
      </c>
      <c r="M254" s="39">
        <f t="shared" si="39"/>
      </c>
      <c r="N254" s="39">
        <f t="shared" si="39"/>
      </c>
      <c r="O254" s="39"/>
      <c r="P254" s="35"/>
      <c r="R254" t="s">
        <v>794</v>
      </c>
    </row>
    <row r="255" spans="1:18" ht="12.75">
      <c r="A255" s="92" t="s">
        <v>322</v>
      </c>
      <c r="B255" s="109">
        <v>2</v>
      </c>
      <c r="C255" s="26" t="str">
        <f>IF(A255="","",VLOOKUP($A253,IF(LEN(A255)=2,WSB,WSA),VLOOKUP(LEFT(A255,1),Teams,6,FALSE),FALSE))</f>
        <v>Joanne Ware</v>
      </c>
      <c r="D255" s="26" t="str">
        <f>IF(A255="","",VLOOKUP($A253,IF(LEN(A255)=2,WSB,WSA),VLOOKUP(LEFT(A255,1),Teams,7,FALSE),FALSE))</f>
        <v>U20</v>
      </c>
      <c r="E255" s="26" t="str">
        <f>IF(A255="","",VLOOKUP(LEFT(A255,1),Teams,2,FALSE))</f>
        <v>Tonbridge</v>
      </c>
      <c r="F255" s="94" t="s">
        <v>151</v>
      </c>
      <c r="G255" s="95">
        <v>3</v>
      </c>
      <c r="H255" s="14"/>
      <c r="I255" s="35">
        <f>IF(OR(F255="",F255-VLOOKUP($A253,WAWstandards,12,FALSE)&gt;0),0,INT(VLOOKUP($A253,WAWstandards,11,FALSE)*(VLOOKUP($A253,WAWstandards,12,FALSE)-F255)^VLOOKUP($A253,WAWstandards,13,FALSE)+0.5))</f>
        <v>162</v>
      </c>
      <c r="J255" s="32">
        <f>IF(F255="","",IF(F255-VLOOKUP($A253,WAWstandards,VLOOKUP(D255,Wage,2,FALSE),FALSE)&gt;0,"","aw"))</f>
      </c>
      <c r="K255" s="39">
        <f t="shared" si="39"/>
      </c>
      <c r="L255" s="39">
        <f t="shared" si="39"/>
      </c>
      <c r="M255" s="39">
        <f t="shared" si="39"/>
      </c>
      <c r="N255" s="39">
        <f t="shared" si="39"/>
        <v>3</v>
      </c>
      <c r="O255" s="39"/>
      <c r="P255" s="35"/>
      <c r="R255" t="s">
        <v>794</v>
      </c>
    </row>
    <row r="256" spans="1:18" ht="12.75">
      <c r="A256" s="92"/>
      <c r="B256" s="109">
        <v>3</v>
      </c>
      <c r="C256" s="26">
        <f>IF(A256="","",VLOOKUP($A253,IF(LEN(A256)=2,WSB,WSA),VLOOKUP(LEFT(A256,1),Teams,6,FALSE),FALSE))</f>
      </c>
      <c r="D256" s="26">
        <f>IF(A256="","",VLOOKUP($A253,IF(LEN(A256)=2,WSB,WSA),VLOOKUP(LEFT(A256,1),Teams,7,FALSE),FALSE))</f>
      </c>
      <c r="E256" s="26">
        <f>IF(A256="","",VLOOKUP(LEFT(A256,1),Teams,2,FALSE))</f>
      </c>
      <c r="F256" s="94"/>
      <c r="G256" s="95">
        <v>2</v>
      </c>
      <c r="H256" s="14"/>
      <c r="I256" s="35">
        <f>IF(OR(F256="",F256-VLOOKUP($A253,WAWstandards,12,FALSE)&gt;0),0,INT(VLOOKUP($A253,WAWstandards,11,FALSE)*(VLOOKUP($A253,WAWstandards,12,FALSE)-F256)^VLOOKUP($A253,WAWstandards,13,FALSE)+0.5))</f>
        <v>0</v>
      </c>
      <c r="J256" s="32">
        <f>IF(F256="","",IF(F256-VLOOKUP($A253,WAWstandards,VLOOKUP(D256,Wage,2,FALSE),FALSE)&gt;0,"","aw"))</f>
      </c>
      <c r="K256" s="39">
        <f t="shared" si="39"/>
      </c>
      <c r="L256" s="39">
        <f t="shared" si="39"/>
      </c>
      <c r="M256" s="39">
        <f t="shared" si="39"/>
      </c>
      <c r="N256" s="39">
        <f t="shared" si="39"/>
      </c>
      <c r="O256" s="39"/>
      <c r="P256" s="35"/>
      <c r="R256" t="s">
        <v>794</v>
      </c>
    </row>
    <row r="257" spans="1:18" ht="12.75">
      <c r="A257" s="92"/>
      <c r="B257" s="109">
        <v>4</v>
      </c>
      <c r="C257" s="26">
        <f>IF(A257="","",VLOOKUP($A253,IF(LEN(A257)=2,WSB,WSA),VLOOKUP(LEFT(A257,1),Teams,6,FALSE),FALSE))</f>
      </c>
      <c r="D257" s="26">
        <f>IF(A257="","",VLOOKUP($A253,IF(LEN(A257)=2,WSB,WSA),VLOOKUP(LEFT(A257,1),Teams,7,FALSE),FALSE))</f>
      </c>
      <c r="E257" s="26">
        <f>IF(A257="","",VLOOKUP(LEFT(A257,1),Teams,2,FALSE))</f>
      </c>
      <c r="F257" s="94"/>
      <c r="G257" s="95">
        <v>1</v>
      </c>
      <c r="H257" s="14"/>
      <c r="I257" s="35">
        <f>IF(OR(F257="",F257-VLOOKUP($A253,WAWstandards,12,FALSE)&gt;0),0,INT(VLOOKUP($A253,WAWstandards,11,FALSE)*(VLOOKUP($A253,WAWstandards,12,FALSE)-F257)^VLOOKUP($A253,WAWstandards,13,FALSE)+0.5))</f>
        <v>0</v>
      </c>
      <c r="J257" s="32">
        <f>IF(F257="","",IF(F257-VLOOKUP($A253,WAWstandards,VLOOKUP(D257,Wage,2,FALSE),FALSE)&gt;0,"","aw"))</f>
      </c>
      <c r="K257" s="39">
        <f t="shared" si="39"/>
      </c>
      <c r="L257" s="39">
        <f t="shared" si="39"/>
      </c>
      <c r="M257" s="39">
        <f t="shared" si="39"/>
      </c>
      <c r="N257" s="39">
        <f t="shared" si="39"/>
      </c>
      <c r="O257" s="39">
        <f>10-SUM(K254:N257)</f>
        <v>3</v>
      </c>
      <c r="P257" s="35"/>
      <c r="R257" t="s">
        <v>794</v>
      </c>
    </row>
    <row r="258" spans="1:16" ht="12.75">
      <c r="A258" s="106" t="s">
        <v>859</v>
      </c>
      <c r="B258" s="17"/>
      <c r="C258" s="27" t="s">
        <v>714</v>
      </c>
      <c r="D258" s="28"/>
      <c r="E258" s="29"/>
      <c r="F258" s="9"/>
      <c r="G258" s="42"/>
      <c r="H258" s="14"/>
      <c r="I258" s="35"/>
      <c r="J258" s="35"/>
      <c r="K258" s="39"/>
      <c r="L258" s="39"/>
      <c r="M258" s="39"/>
      <c r="N258" s="39"/>
      <c r="O258" s="39"/>
      <c r="P258" s="35" t="s">
        <v>919</v>
      </c>
    </row>
    <row r="259" spans="1:18" ht="12.75">
      <c r="A259" s="92" t="s">
        <v>312</v>
      </c>
      <c r="B259" s="109">
        <v>1</v>
      </c>
      <c r="C259" s="26" t="str">
        <f>IF(A259="","",VLOOKUP($A258,IF(LEN(A259)=2,WSB,WSA),VLOOKUP(LEFT(A259,1),Teams,6,FALSE),FALSE))</f>
        <v>Julia Machin</v>
      </c>
      <c r="D259" s="26" t="str">
        <f>IF(A259="","",VLOOKUP($A258,IF(LEN(A259)=2,WSB,WSA),VLOOKUP(LEFT(A259,1),Teams,7,FALSE),FALSE))</f>
        <v>W40</v>
      </c>
      <c r="E259" s="26" t="str">
        <f>IF(A259="","",VLOOKUP(LEFT(A259,1),Teams,2,FALSE))</f>
        <v>Epsom &amp; Ewell</v>
      </c>
      <c r="F259" s="94" t="s">
        <v>316</v>
      </c>
      <c r="G259" s="95">
        <v>4</v>
      </c>
      <c r="H259" s="14"/>
      <c r="I259" s="35">
        <f>IF(OR(F259="",F259-VLOOKUP($A258,WAWstandards,12,FALSE)&gt;0),0,INT(VLOOKUP($A258,WAWstandards,11,FALSE)*(VLOOKUP($A258,WAWstandards,12,FALSE)-F259)^VLOOKUP($A258,WAWstandards,13,FALSE)+0.5))</f>
        <v>704</v>
      </c>
      <c r="J259" s="32" t="str">
        <f>IF(F259="","",IF(F259-VLOOKUP($A258,WAWstandards,VLOOKUP(D259,Wage,2,FALSE),FALSE)&gt;0,"","aw"))</f>
        <v>aw</v>
      </c>
      <c r="K259" s="39">
        <f aca="true" t="shared" si="40" ref="K259:N262">IF($A259="","",IF(LEFT($A259,1)=K$8,$G259,""))</f>
        <v>4</v>
      </c>
      <c r="L259" s="39">
        <f t="shared" si="40"/>
      </c>
      <c r="M259" s="39">
        <f t="shared" si="40"/>
      </c>
      <c r="N259" s="39">
        <f t="shared" si="40"/>
      </c>
      <c r="O259" s="39"/>
      <c r="P259" s="35"/>
      <c r="R259" t="s">
        <v>800</v>
      </c>
    </row>
    <row r="260" spans="1:18" ht="12.75">
      <c r="A260" s="92" t="s">
        <v>314</v>
      </c>
      <c r="B260" s="109">
        <v>2</v>
      </c>
      <c r="C260" s="26" t="str">
        <f>IF(A260="","",VLOOKUP($A258,IF(LEN(A260)=2,WSB,WSA),VLOOKUP(LEFT(A260,1),Teams,6,FALSE),FALSE))</f>
        <v>Nicola Dobra</v>
      </c>
      <c r="D260" s="26" t="str">
        <f>IF(A260="","",VLOOKUP($A258,IF(LEN(A260)=2,WSB,WSA),VLOOKUP(LEFT(A260,1),Teams,7,FALSE),FALSE))</f>
        <v>U23</v>
      </c>
      <c r="E260" s="26" t="str">
        <f>IF(A260="","",VLOOKUP(LEFT(A260,1),Teams,2,FALSE))</f>
        <v>Tonbridge</v>
      </c>
      <c r="F260" s="94" t="s">
        <v>317</v>
      </c>
      <c r="G260" s="95">
        <v>3</v>
      </c>
      <c r="H260" s="14"/>
      <c r="I260" s="35">
        <f>IF(OR(F260="",F260-VLOOKUP($A258,WAWstandards,12,FALSE)&gt;0),0,INT(VLOOKUP($A258,WAWstandards,11,FALSE)*(VLOOKUP($A258,WAWstandards,12,FALSE)-F260)^VLOOKUP($A258,WAWstandards,13,FALSE)+0.5))</f>
        <v>414</v>
      </c>
      <c r="J260" s="32">
        <f>IF(F260="","",IF(F260-VLOOKUP($A258,WAWstandards,VLOOKUP(D260,Wage,2,FALSE),FALSE)&gt;0,"","aw"))</f>
      </c>
      <c r="K260" s="39">
        <f t="shared" si="40"/>
      </c>
      <c r="L260" s="39">
        <f t="shared" si="40"/>
      </c>
      <c r="M260" s="39">
        <f t="shared" si="40"/>
      </c>
      <c r="N260" s="39">
        <f t="shared" si="40"/>
        <v>3</v>
      </c>
      <c r="O260" s="39"/>
      <c r="P260" s="35"/>
      <c r="R260" t="s">
        <v>800</v>
      </c>
    </row>
    <row r="261" spans="1:18" ht="12.75">
      <c r="A261" s="92" t="s">
        <v>315</v>
      </c>
      <c r="B261" s="109">
        <v>3</v>
      </c>
      <c r="C261" s="26" t="str">
        <f>IF(A261="","",VLOOKUP($A258,IF(LEN(A261)=2,WSB,WSA),VLOOKUP(LEFT(A261,1),Teams,6,FALSE),FALSE))</f>
        <v>Rebecca Baines</v>
      </c>
      <c r="D261" s="26" t="str">
        <f>IF(A261="","",VLOOKUP($A258,IF(LEN(A261)=2,WSB,WSA),VLOOKUP(LEFT(A261,1),Teams,7,FALSE),FALSE))</f>
        <v>U23</v>
      </c>
      <c r="E261" s="26" t="str">
        <f>IF(A261="","",VLOOKUP(LEFT(A261,1),Teams,2,FALSE))</f>
        <v>Crawley</v>
      </c>
      <c r="F261" s="94" t="s">
        <v>318</v>
      </c>
      <c r="G261" s="95">
        <v>2</v>
      </c>
      <c r="H261" s="14"/>
      <c r="I261" s="35">
        <f>IF(OR(F261="",F261-VLOOKUP($A258,WAWstandards,12,FALSE)&gt;0),0,INT(VLOOKUP($A258,WAWstandards,11,FALSE)*(VLOOKUP($A258,WAWstandards,12,FALSE)-F261)^VLOOKUP($A258,WAWstandards,13,FALSE)+0.5))</f>
        <v>204</v>
      </c>
      <c r="J261" s="32">
        <f>IF(F261="","",IF(F261-VLOOKUP($A258,WAWstandards,VLOOKUP(D261,Wage,2,FALSE),FALSE)&gt;0,"","aw"))</f>
      </c>
      <c r="K261" s="39">
        <f t="shared" si="40"/>
      </c>
      <c r="L261" s="39">
        <f t="shared" si="40"/>
        <v>2</v>
      </c>
      <c r="M261" s="39">
        <f t="shared" si="40"/>
      </c>
      <c r="N261" s="39">
        <f t="shared" si="40"/>
      </c>
      <c r="O261" s="39"/>
      <c r="P261" s="35"/>
      <c r="R261" t="s">
        <v>800</v>
      </c>
    </row>
    <row r="262" spans="1:18" ht="12.75">
      <c r="A262" s="92"/>
      <c r="B262" s="109">
        <v>4</v>
      </c>
      <c r="C262" s="26">
        <f>IF(A262="","",VLOOKUP($A258,IF(LEN(A262)=2,WSB,WSA),VLOOKUP(LEFT(A262,1),Teams,6,FALSE),FALSE))</f>
      </c>
      <c r="D262" s="26">
        <f>IF(A262="","",VLOOKUP($A258,IF(LEN(A262)=2,WSB,WSA),VLOOKUP(LEFT(A262,1),Teams,7,FALSE),FALSE))</f>
      </c>
      <c r="E262" s="26">
        <f>IF(A262="","",VLOOKUP(LEFT(A262,1),Teams,2,FALSE))</f>
      </c>
      <c r="F262" s="94"/>
      <c r="G262" s="95">
        <v>1</v>
      </c>
      <c r="H262" s="14"/>
      <c r="I262" s="35">
        <f>IF(OR(F262="",F262-VLOOKUP($A258,WAWstandards,12,FALSE)&gt;0),0,INT(VLOOKUP($A258,WAWstandards,11,FALSE)*(VLOOKUP($A258,WAWstandards,12,FALSE)-F262)^VLOOKUP($A258,WAWstandards,13,FALSE)+0.5))</f>
        <v>0</v>
      </c>
      <c r="J262" s="32">
        <f>IF(F262="","",IF(F262-VLOOKUP($A258,WAWstandards,VLOOKUP(D262,Wage,2,FALSE),FALSE)&gt;0,"","aw"))</f>
      </c>
      <c r="K262" s="39">
        <f t="shared" si="40"/>
      </c>
      <c r="L262" s="39">
        <f t="shared" si="40"/>
      </c>
      <c r="M262" s="39">
        <f t="shared" si="40"/>
      </c>
      <c r="N262" s="39">
        <f t="shared" si="40"/>
      </c>
      <c r="O262" s="39">
        <f>10-SUM(K259:N262)</f>
        <v>1</v>
      </c>
      <c r="P262" s="35"/>
      <c r="R262" t="s">
        <v>800</v>
      </c>
    </row>
    <row r="263" spans="1:16" ht="12.75">
      <c r="A263" s="106" t="s">
        <v>859</v>
      </c>
      <c r="B263" s="17"/>
      <c r="C263" s="27" t="s">
        <v>715</v>
      </c>
      <c r="D263" s="28"/>
      <c r="E263" s="29"/>
      <c r="F263" s="9"/>
      <c r="G263" s="42"/>
      <c r="H263" s="14"/>
      <c r="I263" s="35"/>
      <c r="J263" s="35"/>
      <c r="K263" s="39"/>
      <c r="L263" s="39"/>
      <c r="M263" s="39"/>
      <c r="N263" s="39"/>
      <c r="O263" s="39"/>
      <c r="P263" s="35" t="s">
        <v>920</v>
      </c>
    </row>
    <row r="264" spans="1:18" ht="12.75">
      <c r="A264" s="92" t="s">
        <v>313</v>
      </c>
      <c r="B264" s="109">
        <v>1</v>
      </c>
      <c r="C264" s="26" t="str">
        <f>IF(A264="","",VLOOKUP($A263,IF(LEN(A264)=2,WSB,WSA),VLOOKUP(LEFT(A264,1),Teams,6,FALSE),FALSE))</f>
        <v>Lizzie Thompson</v>
      </c>
      <c r="D264" s="26" t="str">
        <f>IF(A264="","",VLOOKUP($A263,IF(LEN(A264)=2,WSB,WSA),VLOOKUP(LEFT(A264,1),Teams,7,FALSE),FALSE))</f>
        <v>SW</v>
      </c>
      <c r="E264" s="26" t="str">
        <f>IF(A264="","",VLOOKUP(LEFT(A264,1),Teams,2,FALSE))</f>
        <v>Epsom &amp; Ewell</v>
      </c>
      <c r="F264" s="94" t="s">
        <v>319</v>
      </c>
      <c r="G264" s="95">
        <v>4</v>
      </c>
      <c r="H264" s="14"/>
      <c r="I264" s="35">
        <f>IF(OR(F264="",F264-VLOOKUP($A263,WAWstandards,12,FALSE)&gt;0),0,INT(VLOOKUP($A263,WAWstandards,11,FALSE)*(VLOOKUP($A263,WAWstandards,12,FALSE)-F264)^VLOOKUP($A263,WAWstandards,13,FALSE)+0.5))</f>
        <v>565</v>
      </c>
      <c r="J264" s="32" t="str">
        <f>IF(F264="","",IF(F264-VLOOKUP($A263,WAWstandards,VLOOKUP(D264,Wage,2,FALSE),FALSE)&gt;0,"","aw"))</f>
        <v>aw</v>
      </c>
      <c r="K264" s="39">
        <f aca="true" t="shared" si="41" ref="K264:N267">IF($A264="","",IF(LEFT($A264,1)=K$8,$G264,""))</f>
        <v>4</v>
      </c>
      <c r="L264" s="39">
        <f t="shared" si="41"/>
      </c>
      <c r="M264" s="39">
        <f t="shared" si="41"/>
      </c>
      <c r="N264" s="39">
        <f t="shared" si="41"/>
      </c>
      <c r="O264" s="39"/>
      <c r="P264" s="35"/>
      <c r="R264" t="s">
        <v>800</v>
      </c>
    </row>
    <row r="265" spans="1:18" ht="12.75">
      <c r="A265" s="92"/>
      <c r="B265" s="109">
        <v>2</v>
      </c>
      <c r="C265" s="26">
        <f>IF(A265="","",VLOOKUP($A263,IF(LEN(A265)=2,WSB,WSA),VLOOKUP(LEFT(A265,1),Teams,6,FALSE),FALSE))</f>
      </c>
      <c r="D265" s="26">
        <f>IF(A265="","",VLOOKUP($A263,IF(LEN(A265)=2,WSB,WSA),VLOOKUP(LEFT(A265,1),Teams,7,FALSE),FALSE))</f>
      </c>
      <c r="E265" s="26">
        <f>IF(A265="","",VLOOKUP(LEFT(A265,1),Teams,2,FALSE))</f>
      </c>
      <c r="F265" s="94"/>
      <c r="G265" s="95">
        <v>3</v>
      </c>
      <c r="H265" s="14"/>
      <c r="I265" s="35">
        <f>IF(OR(F265="",F265-VLOOKUP($A263,WAWstandards,12,FALSE)&gt;0),0,INT(VLOOKUP($A263,WAWstandards,11,FALSE)*(VLOOKUP($A263,WAWstandards,12,FALSE)-F265)^VLOOKUP($A263,WAWstandards,13,FALSE)+0.5))</f>
        <v>0</v>
      </c>
      <c r="J265" s="32">
        <f>IF(F265="","",IF(F265-VLOOKUP($A263,WAWstandards,VLOOKUP(D265,Wage,2,FALSE),FALSE)&gt;0,"","aw"))</f>
      </c>
      <c r="K265" s="39">
        <f t="shared" si="41"/>
      </c>
      <c r="L265" s="39">
        <f t="shared" si="41"/>
      </c>
      <c r="M265" s="39">
        <f t="shared" si="41"/>
      </c>
      <c r="N265" s="39">
        <f t="shared" si="41"/>
      </c>
      <c r="O265" s="39"/>
      <c r="P265" s="35"/>
      <c r="R265" t="s">
        <v>800</v>
      </c>
    </row>
    <row r="266" spans="1:18" ht="12.75">
      <c r="A266" s="92"/>
      <c r="B266" s="109">
        <v>3</v>
      </c>
      <c r="C266" s="26">
        <f>IF(A266="","",VLOOKUP($A263,IF(LEN(A266)=2,WSB,WSA),VLOOKUP(LEFT(A266,1),Teams,6,FALSE),FALSE))</f>
      </c>
      <c r="D266" s="26">
        <f>IF(A266="","",VLOOKUP($A263,IF(LEN(A266)=2,WSB,WSA),VLOOKUP(LEFT(A266,1),Teams,7,FALSE),FALSE))</f>
      </c>
      <c r="E266" s="26">
        <f>IF(A266="","",VLOOKUP(LEFT(A266,1),Teams,2,FALSE))</f>
      </c>
      <c r="F266" s="94"/>
      <c r="G266" s="95">
        <v>2</v>
      </c>
      <c r="H266" s="14"/>
      <c r="I266" s="35">
        <f>IF(OR(F266="",F266-VLOOKUP($A263,WAWstandards,12,FALSE)&gt;0),0,INT(VLOOKUP($A263,WAWstandards,11,FALSE)*(VLOOKUP($A263,WAWstandards,12,FALSE)-F266)^VLOOKUP($A263,WAWstandards,13,FALSE)+0.5))</f>
        <v>0</v>
      </c>
      <c r="J266" s="32">
        <f>IF(F266="","",IF(F266-VLOOKUP($A263,WAWstandards,VLOOKUP(D266,Wage,2,FALSE),FALSE)&gt;0,"","aw"))</f>
      </c>
      <c r="K266" s="39">
        <f t="shared" si="41"/>
      </c>
      <c r="L266" s="39">
        <f t="shared" si="41"/>
      </c>
      <c r="M266" s="39">
        <f t="shared" si="41"/>
      </c>
      <c r="N266" s="39">
        <f t="shared" si="41"/>
      </c>
      <c r="O266" s="39"/>
      <c r="P266" s="35"/>
      <c r="R266" t="s">
        <v>800</v>
      </c>
    </row>
    <row r="267" spans="1:18" ht="12.75">
      <c r="A267" s="92"/>
      <c r="B267" s="109">
        <v>4</v>
      </c>
      <c r="C267" s="26">
        <f>IF(A267="","",VLOOKUP($A263,IF(LEN(A267)=2,WSB,WSA),VLOOKUP(LEFT(A267,1),Teams,6,FALSE),FALSE))</f>
      </c>
      <c r="D267" s="26">
        <f>IF(A267="","",VLOOKUP($A263,IF(LEN(A267)=2,WSB,WSA),VLOOKUP(LEFT(A267,1),Teams,7,FALSE),FALSE))</f>
      </c>
      <c r="E267" s="26">
        <f>IF(A267="","",VLOOKUP(LEFT(A267,1),Teams,2,FALSE))</f>
      </c>
      <c r="F267" s="94"/>
      <c r="G267" s="95">
        <v>1</v>
      </c>
      <c r="H267" s="14"/>
      <c r="I267" s="35">
        <f>IF(OR(F267="",F267-VLOOKUP($A263,WAWstandards,12,FALSE)&gt;0),0,INT(VLOOKUP($A263,WAWstandards,11,FALSE)*(VLOOKUP($A263,WAWstandards,12,FALSE)-F267)^VLOOKUP($A263,WAWstandards,13,FALSE)+0.5))</f>
        <v>0</v>
      </c>
      <c r="J267" s="32">
        <f>IF(F267="","",IF(F267-VLOOKUP($A263,WAWstandards,VLOOKUP(D267,Wage,2,FALSE),FALSE)&gt;0,"","aw"))</f>
      </c>
      <c r="K267" s="39">
        <f t="shared" si="41"/>
      </c>
      <c r="L267" s="39">
        <f t="shared" si="41"/>
      </c>
      <c r="M267" s="39">
        <f t="shared" si="41"/>
      </c>
      <c r="N267" s="39">
        <f t="shared" si="41"/>
      </c>
      <c r="O267" s="39">
        <f>10-SUM(K264:N267)</f>
        <v>6</v>
      </c>
      <c r="P267" s="35"/>
      <c r="R267" t="s">
        <v>800</v>
      </c>
    </row>
    <row r="268" spans="1:16" ht="12.75">
      <c r="A268" s="105" t="str">
        <f>Dec!A$58</f>
        <v>1500SCW</v>
      </c>
      <c r="B268" s="17"/>
      <c r="C268" s="28" t="str">
        <f>"Women's A "&amp;IF(INT(VALUE(MID(Dec!$B$1,2,1))/2)*2=VALUE(MID(Dec!$B$1,2,1)),"2000m","1500m")&amp;" Steeplechase"</f>
        <v>Women's A 1500m Steeplechase</v>
      </c>
      <c r="D268" s="28"/>
      <c r="E268" s="29"/>
      <c r="F268" s="9"/>
      <c r="G268" s="42"/>
      <c r="H268" s="14"/>
      <c r="I268" s="35"/>
      <c r="J268" s="35"/>
      <c r="K268" s="39"/>
      <c r="L268" s="39"/>
      <c r="M268" s="39"/>
      <c r="N268" s="39"/>
      <c r="O268" s="39"/>
      <c r="P268" s="35" t="s">
        <v>457</v>
      </c>
    </row>
    <row r="269" spans="1:18" ht="12.75">
      <c r="A269" s="92" t="s">
        <v>327</v>
      </c>
      <c r="B269" s="109">
        <v>1</v>
      </c>
      <c r="C269" s="26" t="str">
        <f>IF(A269="","",VLOOKUP($A268,IF(LEN(A269)=2,WSB,WSA),VLOOKUP(LEFT(A269,1),Teams,6,FALSE),FALSE))</f>
        <v>Polly Pitcairn-Knowles</v>
      </c>
      <c r="D269" s="26" t="str">
        <f>IF(A269="","",VLOOKUP($A268,IF(LEN(A269)=2,WSB,WSA),VLOOKUP(LEFT(A269,1),Teams,7,FALSE),FALSE))</f>
        <v>U17</v>
      </c>
      <c r="E269" s="26" t="str">
        <f>IF(A269="","",VLOOKUP(LEFT(A269,1),Teams,2,FALSE))</f>
        <v>Tonbridge</v>
      </c>
      <c r="F269" s="94" t="s">
        <v>27</v>
      </c>
      <c r="G269" s="95">
        <v>4</v>
      </c>
      <c r="H269" s="14"/>
      <c r="I269" s="35">
        <f>IF(OR(F269="",TEXT(F269,"[s].0")-VLOOKUP($A268,WAWstandards,12,FALSE)&gt;0),0,INT(VLOOKUP($A268,WAWstandards,11,FALSE)*(VLOOKUP($A268,WAWstandards,12,FALSE)-TEXT(F269,"[s].0"))^VLOOKUP($A268,WAWstandards,13,FALSE)+0.5))</f>
        <v>659</v>
      </c>
      <c r="J269" s="32">
        <f>IF(F269="","",IF(F269-VLOOKUP($A268,WAWstandards,VLOOKUP(D269,Wage,2,FALSE),FALSE)&gt;0,"","aw"))</f>
      </c>
      <c r="K269" s="39">
        <f aca="true" t="shared" si="42" ref="K269:N277">IF($A269="","",IF(LEFT($A269,1)=K$8,$G269,""))</f>
      </c>
      <c r="L269" s="39">
        <f t="shared" si="42"/>
      </c>
      <c r="M269" s="39">
        <f t="shared" si="42"/>
      </c>
      <c r="N269" s="39">
        <f t="shared" si="42"/>
        <v>4</v>
      </c>
      <c r="O269" s="39"/>
      <c r="P269" s="35"/>
      <c r="R269" t="s">
        <v>456</v>
      </c>
    </row>
    <row r="270" spans="1:18" ht="12.75">
      <c r="A270" s="92" t="s">
        <v>312</v>
      </c>
      <c r="B270" s="109">
        <v>2</v>
      </c>
      <c r="C270" s="26" t="str">
        <f>IF(A270="","",VLOOKUP($A268,IF(LEN(A270)=2,WSB,WSA),VLOOKUP(LEFT(A270,1),Teams,6,FALSE),FALSE))</f>
        <v>Diana Norman</v>
      </c>
      <c r="D270" s="26" t="str">
        <f>IF(A270="","",VLOOKUP($A268,IF(LEN(A270)=2,WSB,WSA),VLOOKUP(LEFT(A270,1),Teams,7,FALSE),FALSE))</f>
        <v>W40</v>
      </c>
      <c r="E270" s="26" t="str">
        <f>IF(A270="","",VLOOKUP(LEFT(A270,1),Teams,2,FALSE))</f>
        <v>Epsom &amp; Ewell</v>
      </c>
      <c r="F270" s="94" t="s">
        <v>28</v>
      </c>
      <c r="G270" s="95">
        <v>3</v>
      </c>
      <c r="H270" s="14"/>
      <c r="I270" s="35">
        <f>IF(OR(F270="",TEXT(F270,"[s].0")-VLOOKUP($A268,WAWstandards,12,FALSE)&gt;0),0,INT(VLOOKUP($A268,WAWstandards,11,FALSE)*(VLOOKUP($A268,WAWstandards,12,FALSE)-TEXT(F270,"[s].0"))^VLOOKUP($A268,WAWstandards,13,FALSE)+0.5))</f>
        <v>597</v>
      </c>
      <c r="J270" s="32">
        <f>IF(F270="","",IF(F270-VLOOKUP($A268,WAWstandards,VLOOKUP(D270,Wage,2,FALSE),FALSE)&gt;0,"","aw"))</f>
      </c>
      <c r="K270" s="39">
        <f t="shared" si="42"/>
        <v>3</v>
      </c>
      <c r="L270" s="39">
        <f t="shared" si="42"/>
      </c>
      <c r="M270" s="39">
        <f t="shared" si="42"/>
      </c>
      <c r="N270" s="39">
        <f t="shared" si="42"/>
      </c>
      <c r="O270" s="39"/>
      <c r="P270" s="35"/>
      <c r="R270" t="s">
        <v>456</v>
      </c>
    </row>
    <row r="271" spans="1:18" ht="12.75">
      <c r="A271" s="92" t="s">
        <v>321</v>
      </c>
      <c r="B271" s="109">
        <v>3</v>
      </c>
      <c r="C271" s="26" t="str">
        <f>IF(A271="","",VLOOKUP($A268,IF(LEN(A271)=2,WSB,WSA),VLOOKUP(LEFT(A271,1),Teams,6,FALSE),FALSE))</f>
        <v>Jo Rowland</v>
      </c>
      <c r="D271" s="26" t="str">
        <f>IF(A271="","",VLOOKUP($A268,IF(LEN(A271)=2,WSB,WSA),VLOOKUP(LEFT(A271,1),Teams,7,FALSE),FALSE))</f>
        <v>SW</v>
      </c>
      <c r="E271" s="26" t="str">
        <f>IF(A271="","",VLOOKUP(LEFT(A271,1),Teams,2,FALSE))</f>
        <v>Crawley</v>
      </c>
      <c r="F271" s="94" t="s">
        <v>29</v>
      </c>
      <c r="G271" s="95">
        <v>2</v>
      </c>
      <c r="H271" s="14"/>
      <c r="I271" s="35">
        <f>IF(OR(F271="",TEXT(F271,"[s].0")-VLOOKUP($A268,WAWstandards,12,FALSE)&gt;0),0,INT(VLOOKUP($A268,WAWstandards,11,FALSE)*(VLOOKUP($A268,WAWstandards,12,FALSE)-TEXT(F271,"[s].0"))^VLOOKUP($A268,WAWstandards,13,FALSE)+0.5))</f>
        <v>317</v>
      </c>
      <c r="J271" s="32">
        <f>IF(F271="","",IF(F271-VLOOKUP($A268,WAWstandards,VLOOKUP(D271,Wage,2,FALSE),FALSE)&gt;0,"","aw"))</f>
      </c>
      <c r="K271" s="39">
        <f t="shared" si="42"/>
      </c>
      <c r="L271" s="39">
        <f t="shared" si="42"/>
        <v>2</v>
      </c>
      <c r="M271" s="39">
        <f t="shared" si="42"/>
      </c>
      <c r="N271" s="39">
        <f t="shared" si="42"/>
      </c>
      <c r="O271" s="39"/>
      <c r="P271" s="35"/>
      <c r="R271" t="s">
        <v>456</v>
      </c>
    </row>
    <row r="272" spans="1:18" ht="12.75">
      <c r="A272" s="92"/>
      <c r="B272" s="109">
        <v>4</v>
      </c>
      <c r="C272" s="26">
        <f>IF(A272="","",VLOOKUP($A268,IF(LEN(A272)=2,WSB,WSA),VLOOKUP(LEFT(A272,1),Teams,6,FALSE),FALSE))</f>
      </c>
      <c r="D272" s="26">
        <f>IF(A272="","",VLOOKUP($A268,IF(LEN(A272)=2,WSB,WSA),VLOOKUP(LEFT(A272,1),Teams,7,FALSE),FALSE))</f>
      </c>
      <c r="E272" s="26">
        <f>IF(A272="","",VLOOKUP(LEFT(A272,1),Teams,2,FALSE))</f>
      </c>
      <c r="F272" s="94"/>
      <c r="G272" s="95">
        <v>1</v>
      </c>
      <c r="H272" s="14"/>
      <c r="I272" s="35">
        <f>IF(OR(F272="",TEXT(F272,"[s].0")-VLOOKUP($A268,WAWstandards,12,FALSE)&gt;0),0,INT(VLOOKUP($A268,WAWstandards,11,FALSE)*(VLOOKUP($A268,WAWstandards,12,FALSE)-TEXT(F272,"[s].0"))^VLOOKUP($A268,WAWstandards,13,FALSE)+0.5))</f>
        <v>0</v>
      </c>
      <c r="J272" s="32">
        <f>IF(F272="","",IF(F272-VLOOKUP($A268,WAWstandards,VLOOKUP(D272,Wage,2,FALSE),FALSE)&gt;0,"","aw"))</f>
      </c>
      <c r="K272" s="39">
        <f t="shared" si="42"/>
      </c>
      <c r="L272" s="39">
        <f t="shared" si="42"/>
      </c>
      <c r="M272" s="39">
        <f t="shared" si="42"/>
      </c>
      <c r="N272" s="39">
        <f t="shared" si="42"/>
      </c>
      <c r="O272" s="39">
        <f>10-SUM(K269:N272)</f>
        <v>1</v>
      </c>
      <c r="P272" s="35"/>
      <c r="R272" t="s">
        <v>456</v>
      </c>
    </row>
    <row r="273" spans="1:16" ht="12.75">
      <c r="A273" s="105" t="str">
        <f>Dec!A$58</f>
        <v>1500SCW</v>
      </c>
      <c r="B273" s="17"/>
      <c r="C273" s="28" t="str">
        <f>"Women's B "&amp;IF(INT(VALUE(MID(Dec!$B$1,2,1))/2)*2=VALUE(MID(Dec!$B$1,2,1)),"2000m","1500m")&amp;" Steeplechase"</f>
        <v>Women's B 1500m Steeplechase</v>
      </c>
      <c r="D273" s="28"/>
      <c r="E273" s="29"/>
      <c r="F273" s="9"/>
      <c r="G273" s="42"/>
      <c r="H273" s="14"/>
      <c r="I273" s="35"/>
      <c r="J273" s="35"/>
      <c r="K273" s="39"/>
      <c r="L273" s="39"/>
      <c r="M273" s="39"/>
      <c r="N273" s="39"/>
      <c r="O273" s="39"/>
      <c r="P273" s="35" t="s">
        <v>458</v>
      </c>
    </row>
    <row r="274" spans="1:18" ht="12.75">
      <c r="A274" s="92" t="s">
        <v>322</v>
      </c>
      <c r="B274" s="109">
        <v>1</v>
      </c>
      <c r="C274" s="26" t="str">
        <f>IF(A274="","",VLOOKUP($A273,IF(LEN(A274)=2,WSB,WSA),VLOOKUP(LEFT(A274,1),Teams,6,FALSE),FALSE))</f>
        <v>Emily Hale</v>
      </c>
      <c r="D274" s="26" t="str">
        <f>IF(A274="","",VLOOKUP($A273,IF(LEN(A274)=2,WSB,WSA),VLOOKUP(LEFT(A274,1),Teams,7,FALSE),FALSE))</f>
        <v>U20</v>
      </c>
      <c r="E274" s="26" t="str">
        <f>IF(A274="","",VLOOKUP(LEFT(A274,1),Teams,2,FALSE))</f>
        <v>Tonbridge</v>
      </c>
      <c r="F274" s="94" t="s">
        <v>30</v>
      </c>
      <c r="G274" s="95">
        <v>4</v>
      </c>
      <c r="H274" s="14"/>
      <c r="I274" s="35">
        <f>IF(OR(F274="",TEXT(F274,"[s].0")-VLOOKUP($A273,WAWstandards,12,FALSE)&gt;0),0,INT(VLOOKUP($A273,WAWstandards,11,FALSE)*(VLOOKUP($A273,WAWstandards,12,FALSE)-TEXT(F274,"[s].0"))^VLOOKUP($A273,WAWstandards,13,FALSE)+0.5))</f>
        <v>391</v>
      </c>
      <c r="J274" s="32" t="str">
        <f>IF(F274="","",IF(F274-VLOOKUP($A273,WAWstandards,VLOOKUP(D274,Wage,2,FALSE),FALSE)&gt;0,"","aw"))</f>
        <v>aw</v>
      </c>
      <c r="K274" s="39">
        <f t="shared" si="42"/>
      </c>
      <c r="L274" s="39">
        <f t="shared" si="42"/>
      </c>
      <c r="M274" s="39">
        <f t="shared" si="42"/>
      </c>
      <c r="N274" s="39">
        <f t="shared" si="42"/>
        <v>4</v>
      </c>
      <c r="O274" s="39"/>
      <c r="P274" s="35"/>
      <c r="R274" t="s">
        <v>456</v>
      </c>
    </row>
    <row r="275" spans="1:18" ht="12.75">
      <c r="A275" s="92" t="s">
        <v>315</v>
      </c>
      <c r="B275" s="109">
        <v>2</v>
      </c>
      <c r="C275" s="26" t="str">
        <f>IF(A275="","",VLOOKUP($A273,IF(LEN(A275)=2,WSB,WSA),VLOOKUP(LEFT(A275,1),Teams,6,FALSE),FALSE))</f>
        <v>Paige Clark</v>
      </c>
      <c r="D275" s="26" t="str">
        <f>IF(A275="","",VLOOKUP($A273,IF(LEN(A275)=2,WSB,WSA),VLOOKUP(LEFT(A275,1),Teams,7,FALSE),FALSE))</f>
        <v>U20</v>
      </c>
      <c r="E275" s="26" t="str">
        <f>IF(A275="","",VLOOKUP(LEFT(A275,1),Teams,2,FALSE))</f>
        <v>Crawley</v>
      </c>
      <c r="F275" s="94" t="s">
        <v>29</v>
      </c>
      <c r="G275" s="95">
        <v>3</v>
      </c>
      <c r="H275" s="14"/>
      <c r="I275" s="35">
        <f>IF(OR(F275="",TEXT(F275,"[s].0")-VLOOKUP($A273,WAWstandards,12,FALSE)&gt;0),0,INT(VLOOKUP($A273,WAWstandards,11,FALSE)*(VLOOKUP($A273,WAWstandards,12,FALSE)-TEXT(F275,"[s].0"))^VLOOKUP($A273,WAWstandards,13,FALSE)+0.5))</f>
        <v>317</v>
      </c>
      <c r="J275" s="32">
        <f>IF(F275="","",IF(F275-VLOOKUP($A273,WAWstandards,VLOOKUP(D275,Wage,2,FALSE),FALSE)&gt;0,"","aw"))</f>
      </c>
      <c r="K275" s="39">
        <f t="shared" si="42"/>
      </c>
      <c r="L275" s="39">
        <f t="shared" si="42"/>
        <v>3</v>
      </c>
      <c r="M275" s="39">
        <f t="shared" si="42"/>
      </c>
      <c r="N275" s="39">
        <f t="shared" si="42"/>
      </c>
      <c r="O275" s="39"/>
      <c r="P275" s="35"/>
      <c r="R275" t="s">
        <v>456</v>
      </c>
    </row>
    <row r="276" spans="1:18" ht="12.75">
      <c r="A276" s="92"/>
      <c r="B276" s="109">
        <v>3</v>
      </c>
      <c r="C276" s="26">
        <f>IF(A276="","",VLOOKUP($A273,IF(LEN(A276)=2,WSB,WSA),VLOOKUP(LEFT(A276,1),Teams,6,FALSE),FALSE))</f>
      </c>
      <c r="D276" s="26">
        <f>IF(A276="","",VLOOKUP($A273,IF(LEN(A276)=2,WSB,WSA),VLOOKUP(LEFT(A276,1),Teams,7,FALSE),FALSE))</f>
      </c>
      <c r="E276" s="26">
        <f>IF(A276="","",VLOOKUP(LEFT(A276,1),Teams,2,FALSE))</f>
      </c>
      <c r="F276" s="94"/>
      <c r="G276" s="95">
        <v>2</v>
      </c>
      <c r="H276" s="14"/>
      <c r="I276" s="35">
        <f>IF(OR(F276="",TEXT(F276,"[s].0")-VLOOKUP($A273,WAWstandards,12,FALSE)&gt;0),0,INT(VLOOKUP($A273,WAWstandards,11,FALSE)*(VLOOKUP($A273,WAWstandards,12,FALSE)-TEXT(F276,"[s].0"))^VLOOKUP($A273,WAWstandards,13,FALSE)+0.5))</f>
        <v>0</v>
      </c>
      <c r="J276" s="32">
        <f>IF(F276="","",IF(F276-VLOOKUP($A273,WAWstandards,VLOOKUP(D276,Wage,2,FALSE),FALSE)&gt;0,"","aw"))</f>
      </c>
      <c r="K276" s="39">
        <f t="shared" si="42"/>
      </c>
      <c r="L276" s="39">
        <f t="shared" si="42"/>
      </c>
      <c r="M276" s="39">
        <f t="shared" si="42"/>
      </c>
      <c r="N276" s="39">
        <f t="shared" si="42"/>
      </c>
      <c r="O276" s="39"/>
      <c r="P276" s="35"/>
      <c r="R276" t="s">
        <v>456</v>
      </c>
    </row>
    <row r="277" spans="1:18" ht="12.75">
      <c r="A277" s="92"/>
      <c r="B277" s="109">
        <v>4</v>
      </c>
      <c r="C277" s="26">
        <f>IF(A277="","",VLOOKUP($A273,IF(LEN(A277)=2,WSB,WSA),VLOOKUP(LEFT(A277,1),Teams,6,FALSE),FALSE))</f>
      </c>
      <c r="D277" s="26">
        <f>IF(A277="","",VLOOKUP($A273,IF(LEN(A277)=2,WSB,WSA),VLOOKUP(LEFT(A277,1),Teams,7,FALSE),FALSE))</f>
      </c>
      <c r="E277" s="26">
        <f>IF(A277="","",VLOOKUP(LEFT(A277,1),Teams,2,FALSE))</f>
      </c>
      <c r="F277" s="94"/>
      <c r="G277" s="95">
        <v>1</v>
      </c>
      <c r="H277" s="14"/>
      <c r="I277" s="35">
        <f>IF(OR(F277="",TEXT(F277,"[s].0")-VLOOKUP($A273,WAWstandards,12,FALSE)&gt;0),0,INT(VLOOKUP($A273,WAWstandards,11,FALSE)*(VLOOKUP($A273,WAWstandards,12,FALSE)-TEXT(F277,"[s].0"))^VLOOKUP($A273,WAWstandards,13,FALSE)+0.5))</f>
        <v>0</v>
      </c>
      <c r="J277" s="32">
        <f>IF(F277="","",IF(F277-VLOOKUP($A273,WAWstandards,VLOOKUP(D277,Wage,2,FALSE),FALSE)&gt;0,"","aw"))</f>
      </c>
      <c r="K277" s="39">
        <f t="shared" si="42"/>
      </c>
      <c r="L277" s="39">
        <f t="shared" si="42"/>
      </c>
      <c r="M277" s="39">
        <f t="shared" si="42"/>
      </c>
      <c r="N277" s="39">
        <f t="shared" si="42"/>
      </c>
      <c r="O277" s="39">
        <f>10-SUM(K274:N277)</f>
        <v>3</v>
      </c>
      <c r="P277" s="35"/>
      <c r="R277" t="s">
        <v>456</v>
      </c>
    </row>
    <row r="278" spans="1:16" ht="12.75">
      <c r="A278" s="106" t="s">
        <v>899</v>
      </c>
      <c r="B278" s="17"/>
      <c r="C278" s="27" t="s">
        <v>716</v>
      </c>
      <c r="D278" s="28"/>
      <c r="E278" s="29"/>
      <c r="F278" s="8"/>
      <c r="G278" s="42"/>
      <c r="H278" s="14"/>
      <c r="I278" s="35"/>
      <c r="J278" s="35"/>
      <c r="K278" s="39"/>
      <c r="L278" s="39"/>
      <c r="M278" s="39"/>
      <c r="N278" s="39"/>
      <c r="O278" s="39"/>
      <c r="P278" s="35" t="s">
        <v>921</v>
      </c>
    </row>
    <row r="279" spans="1:18" ht="12.75">
      <c r="A279" s="92" t="s">
        <v>312</v>
      </c>
      <c r="B279" s="109">
        <v>1</v>
      </c>
      <c r="C279" s="26" t="str">
        <f>IF(A279="","",VLOOKUP($A278,IF(LEN(A279)=2,WSB,WSA),VLOOKUP(LEFT(A279,1),Teams,6,FALSE),FALSE))</f>
        <v>Julia Machin</v>
      </c>
      <c r="D279" s="26" t="str">
        <f>IF(A279="","",VLOOKUP($A278,IF(LEN(A279)=2,WSB,WSA),VLOOKUP(LEFT(A279,1),Teams,7,FALSE),FALSE))</f>
        <v>W40</v>
      </c>
      <c r="E279" s="26" t="str">
        <f>IF(A279="","",VLOOKUP(LEFT(A279,1),Teams,2,FALSE))</f>
        <v>Epsom &amp; Ewell</v>
      </c>
      <c r="F279" s="94" t="s">
        <v>1016</v>
      </c>
      <c r="G279" s="95">
        <v>4</v>
      </c>
      <c r="H279" s="14"/>
      <c r="I279" s="35">
        <f>IF(OR(F279="",F279-VLOOKUP($A278,WAWstandards,12,FALSE)&lt;0),0,INT(VLOOKUP($A278,WAWstandards,11,FALSE)*(F279-VLOOKUP($A278,WAWstandards,12,FALSE))^VLOOKUP($A278,WAWstandards,13,FALSE)+0.5))</f>
        <v>852</v>
      </c>
      <c r="J279" s="32" t="str">
        <f>IF(F279="","",IF(F279-VLOOKUP($A278,WAWstandards,VLOOKUP(D279,Wage,2,FALSE),FALSE)&lt;0,"","aw"))</f>
        <v>aw</v>
      </c>
      <c r="K279" s="39">
        <f aca="true" t="shared" si="43" ref="K279:N294">IF($A279="","",IF(LEFT($A279,1)=K$8,$G279,""))</f>
        <v>4</v>
      </c>
      <c r="L279" s="39">
        <f t="shared" si="43"/>
      </c>
      <c r="M279" s="39">
        <f t="shared" si="43"/>
      </c>
      <c r="N279" s="39">
        <f t="shared" si="43"/>
      </c>
      <c r="O279" s="39"/>
      <c r="P279" s="35"/>
      <c r="R279" t="s">
        <v>806</v>
      </c>
    </row>
    <row r="280" spans="1:18" ht="12.75">
      <c r="A280" s="92" t="s">
        <v>315</v>
      </c>
      <c r="B280" s="109">
        <v>2</v>
      </c>
      <c r="C280" s="26" t="str">
        <f>IF(A280="","",VLOOKUP($A278,IF(LEN(A280)=2,WSB,WSA),VLOOKUP(LEFT(A280,1),Teams,6,FALSE),FALSE))</f>
        <v>Jo Rowland</v>
      </c>
      <c r="D280" s="26" t="str">
        <f>IF(A280="","",VLOOKUP($A278,IF(LEN(A280)=2,WSB,WSA),VLOOKUP(LEFT(A280,1),Teams,7,FALSE),FALSE))</f>
        <v>SW</v>
      </c>
      <c r="E280" s="26" t="str">
        <f>IF(A280="","",VLOOKUP(LEFT(A280,1),Teams,2,FALSE))</f>
        <v>Crawley</v>
      </c>
      <c r="F280" s="94" t="s">
        <v>1005</v>
      </c>
      <c r="G280" s="95">
        <v>3</v>
      </c>
      <c r="H280" s="14"/>
      <c r="I280" s="35">
        <f>IF(OR(F280="",F280-VLOOKUP($A278,WAWstandards,12,FALSE)&lt;0),0,INT(VLOOKUP($A278,WAWstandards,11,FALSE)*(F280-VLOOKUP($A278,WAWstandards,12,FALSE))^VLOOKUP($A278,WAWstandards,13,FALSE)+0.5))</f>
        <v>799</v>
      </c>
      <c r="J280" s="32" t="str">
        <f>IF(F280="","",IF(F280-VLOOKUP($A278,WAWstandards,VLOOKUP(D280,Wage,2,FALSE),FALSE)&lt;0,"","aw"))</f>
        <v>aw</v>
      </c>
      <c r="K280" s="39">
        <f t="shared" si="43"/>
      </c>
      <c r="L280" s="39">
        <f t="shared" si="43"/>
        <v>3</v>
      </c>
      <c r="M280" s="39">
        <f t="shared" si="43"/>
      </c>
      <c r="N280" s="39">
        <f t="shared" si="43"/>
      </c>
      <c r="O280" s="39"/>
      <c r="P280" s="35"/>
      <c r="R280" t="s">
        <v>806</v>
      </c>
    </row>
    <row r="281" spans="1:18" ht="12.75">
      <c r="A281" s="92" t="s">
        <v>327</v>
      </c>
      <c r="B281" s="109">
        <v>3</v>
      </c>
      <c r="C281" s="26" t="str">
        <f>IF(A281="","",VLOOKUP($A278,IF(LEN(A281)=2,WSB,WSA),VLOOKUP(LEFT(A281,1),Teams,6,FALSE),FALSE))</f>
        <v>Joanne Ware</v>
      </c>
      <c r="D281" s="26" t="str">
        <f>IF(A281="","",VLOOKUP($A278,IF(LEN(A281)=2,WSB,WSA),VLOOKUP(LEFT(A281,1),Teams,7,FALSE),FALSE))</f>
        <v>U20</v>
      </c>
      <c r="E281" s="26" t="str">
        <f>IF(A281="","",VLOOKUP(LEFT(A281,1),Teams,2,FALSE))</f>
        <v>Tonbridge</v>
      </c>
      <c r="F281" s="94" t="s">
        <v>24</v>
      </c>
      <c r="G281" s="95">
        <v>2</v>
      </c>
      <c r="H281" s="14"/>
      <c r="I281" s="35">
        <f>IF(OR(F281="",F281-VLOOKUP($A278,WAWstandards,12,FALSE)&lt;0),0,INT(VLOOKUP($A278,WAWstandards,11,FALSE)*(F281-VLOOKUP($A278,WAWstandards,12,FALSE))^VLOOKUP($A278,WAWstandards,13,FALSE)+0.5))</f>
        <v>692</v>
      </c>
      <c r="J281" s="32" t="str">
        <f>IF(F281="","",IF(F281-VLOOKUP($A278,WAWstandards,VLOOKUP(D281,Wage,2,FALSE),FALSE)&lt;0,"","aw"))</f>
        <v>aw</v>
      </c>
      <c r="K281" s="39">
        <f t="shared" si="43"/>
      </c>
      <c r="L281" s="39">
        <f t="shared" si="43"/>
      </c>
      <c r="M281" s="39">
        <f t="shared" si="43"/>
      </c>
      <c r="N281" s="39">
        <f t="shared" si="43"/>
        <v>2</v>
      </c>
      <c r="O281" s="39"/>
      <c r="P281" s="35"/>
      <c r="R281" t="s">
        <v>806</v>
      </c>
    </row>
    <row r="282" spans="1:18" ht="12.75">
      <c r="A282" s="92" t="s">
        <v>320</v>
      </c>
      <c r="B282" s="109">
        <v>4</v>
      </c>
      <c r="C282" s="26" t="str">
        <f>IF(A282="","",VLOOKUP($A278,IF(LEN(A282)=2,WSB,WSA),VLOOKUP(LEFT(A282,1),Teams,6,FALSE),FALSE))</f>
        <v>Charlotte Offer</v>
      </c>
      <c r="D282" s="26" t="str">
        <f>IF(A282="","",VLOOKUP($A278,IF(LEN(A282)=2,WSB,WSA),VLOOKUP(LEFT(A282,1),Teams,7,FALSE),FALSE))</f>
        <v>U17</v>
      </c>
      <c r="E282" s="26" t="str">
        <f>IF(A282="","",VLOOKUP(LEFT(A282,1),Teams,2,FALSE))</f>
        <v>Team Dorset</v>
      </c>
      <c r="F282" s="94" t="s">
        <v>25</v>
      </c>
      <c r="G282" s="95">
        <v>1</v>
      </c>
      <c r="H282" s="14"/>
      <c r="I282" s="35">
        <f>IF(OR(F282="",F282-VLOOKUP($A278,WAWstandards,12,FALSE)&lt;0),0,INT(VLOOKUP($A278,WAWstandards,11,FALSE)*(F282-VLOOKUP($A278,WAWstandards,12,FALSE))^VLOOKUP($A278,WAWstandards,13,FALSE)+0.5))</f>
        <v>478</v>
      </c>
      <c r="J282" s="32">
        <f>IF(F282="","",IF(F282-VLOOKUP($A278,WAWstandards,VLOOKUP(D282,Wage,2,FALSE),FALSE)&lt;0,"","aw"))</f>
      </c>
      <c r="K282" s="39">
        <f t="shared" si="43"/>
      </c>
      <c r="L282" s="39">
        <f t="shared" si="43"/>
      </c>
      <c r="M282" s="39">
        <f t="shared" si="43"/>
        <v>1</v>
      </c>
      <c r="N282" s="39">
        <f t="shared" si="43"/>
      </c>
      <c r="O282" s="39">
        <f>10-SUM(K279:N282)</f>
        <v>0</v>
      </c>
      <c r="P282" s="35"/>
      <c r="R282" t="s">
        <v>806</v>
      </c>
    </row>
    <row r="283" spans="1:16" ht="12.75">
      <c r="A283" s="106" t="s">
        <v>899</v>
      </c>
      <c r="B283" s="17"/>
      <c r="C283" s="27" t="s">
        <v>717</v>
      </c>
      <c r="D283" s="28"/>
      <c r="E283" s="29"/>
      <c r="F283" s="8"/>
      <c r="G283" s="42"/>
      <c r="H283" s="14"/>
      <c r="I283" s="35"/>
      <c r="J283" s="35"/>
      <c r="K283" s="39"/>
      <c r="L283" s="39"/>
      <c r="M283" s="39"/>
      <c r="N283" s="39"/>
      <c r="O283" s="39"/>
      <c r="P283" s="35" t="s">
        <v>922</v>
      </c>
    </row>
    <row r="284" spans="1:18" ht="12.75">
      <c r="A284" s="92" t="s">
        <v>321</v>
      </c>
      <c r="B284" s="110">
        <v>1</v>
      </c>
      <c r="C284" s="26" t="str">
        <f>IF(A284="","",VLOOKUP($A283,IF(LEN(A284)=2,WSB,WSA),VLOOKUP(LEFT(A284,1),Teams,6,FALSE),FALSE))</f>
        <v>Becky Owen</v>
      </c>
      <c r="D284" s="26" t="str">
        <f>IF(A284="","",VLOOKUP($A283,IF(LEN(A284)=2,WSB,WSA),VLOOKUP(LEFT(A284,1),Teams,7,FALSE),FALSE))</f>
        <v>SW</v>
      </c>
      <c r="E284" s="26" t="str">
        <f>IF(A284="","",VLOOKUP(LEFT(A284,1),Teams,2,FALSE))</f>
        <v>Crawley</v>
      </c>
      <c r="F284" s="94" t="s">
        <v>542</v>
      </c>
      <c r="G284" s="95">
        <v>4</v>
      </c>
      <c r="H284" s="14"/>
      <c r="I284" s="35">
        <f>IF(OR(F284="",F284-VLOOKUP($A283,WAWstandards,12,FALSE)&lt;0),0,INT(VLOOKUP($A283,WAWstandards,11,FALSE)*(F284-VLOOKUP($A283,WAWstandards,12,FALSE))^VLOOKUP($A283,WAWstandards,13,FALSE)+0.5))</f>
        <v>638</v>
      </c>
      <c r="J284" s="32" t="str">
        <f>IF(F284="","",IF(F284-VLOOKUP($A283,WAWstandards,VLOOKUP(D284,Wage,2,FALSE),FALSE)&lt;0,"","aw"))</f>
        <v>aw</v>
      </c>
      <c r="K284" s="39">
        <f t="shared" si="43"/>
      </c>
      <c r="L284" s="39">
        <f t="shared" si="43"/>
        <v>4</v>
      </c>
      <c r="M284" s="39">
        <f t="shared" si="43"/>
      </c>
      <c r="N284" s="39">
        <f t="shared" si="43"/>
      </c>
      <c r="O284" s="39"/>
      <c r="P284" s="35"/>
      <c r="R284" t="s">
        <v>806</v>
      </c>
    </row>
    <row r="285" spans="1:18" ht="12.75">
      <c r="A285" s="92" t="s">
        <v>313</v>
      </c>
      <c r="B285" s="109" t="s">
        <v>976</v>
      </c>
      <c r="C285" s="26" t="str">
        <f>IF(A285="","",VLOOKUP($A283,IF(LEN(A285)=2,WSB,WSA),VLOOKUP(LEFT(A285,1),Teams,6,FALSE),FALSE))</f>
        <v>Lizzie Thompson</v>
      </c>
      <c r="D285" s="26" t="str">
        <f>IF(A285="","",VLOOKUP($A283,IF(LEN(A285)=2,WSB,WSA),VLOOKUP(LEFT(A285,1),Teams,7,FALSE),FALSE))</f>
        <v>SW</v>
      </c>
      <c r="E285" s="26" t="str">
        <f>IF(A285="","",VLOOKUP(LEFT(A285,1),Teams,2,FALSE))</f>
        <v>Epsom &amp; Ewell</v>
      </c>
      <c r="F285" s="94" t="s">
        <v>544</v>
      </c>
      <c r="G285" s="95">
        <v>3</v>
      </c>
      <c r="H285" s="14"/>
      <c r="I285" s="35">
        <f>IF(OR(F285="",F285-VLOOKUP($A283,WAWstandards,12,FALSE)&lt;0),0,INT(VLOOKUP($A283,WAWstandards,11,FALSE)*(F285-VLOOKUP($A283,WAWstandards,12,FALSE))^VLOOKUP($A283,WAWstandards,13,FALSE)+0.5))</f>
        <v>585</v>
      </c>
      <c r="J285" s="32">
        <f>IF(F285="","",IF(F285-VLOOKUP($A283,WAWstandards,VLOOKUP(D285,Wage,2,FALSE),FALSE)&lt;0,"","aw"))</f>
      </c>
      <c r="K285" s="39">
        <f t="shared" si="43"/>
        <v>3</v>
      </c>
      <c r="L285" s="39">
        <f t="shared" si="43"/>
      </c>
      <c r="M285" s="39">
        <f t="shared" si="43"/>
      </c>
      <c r="N285" s="39">
        <f t="shared" si="43"/>
      </c>
      <c r="O285" s="39"/>
      <c r="P285" s="35"/>
      <c r="R285" t="s">
        <v>806</v>
      </c>
    </row>
    <row r="286" spans="1:18" ht="12.75">
      <c r="A286" s="92" t="s">
        <v>328</v>
      </c>
      <c r="B286" s="109">
        <v>3</v>
      </c>
      <c r="C286" s="26" t="str">
        <f>IF(A286="","",VLOOKUP($A283,IF(LEN(A286)=2,WSB,WSA),VLOOKUP(LEFT(A286,1),Teams,6,FALSE),FALSE))</f>
        <v>Hanna Westhenry</v>
      </c>
      <c r="D286" s="26" t="str">
        <f>IF(A286="","",VLOOKUP($A283,IF(LEN(A286)=2,WSB,WSA),VLOOKUP(LEFT(A286,1),Teams,7,FALSE),FALSE))</f>
        <v>U17</v>
      </c>
      <c r="E286" s="26" t="str">
        <f>IF(A286="","",VLOOKUP(LEFT(A286,1),Teams,2,FALSE))</f>
        <v>Team Dorset</v>
      </c>
      <c r="F286" s="94" t="s">
        <v>25</v>
      </c>
      <c r="G286" s="95">
        <v>2</v>
      </c>
      <c r="H286" s="14"/>
      <c r="I286" s="35">
        <f>IF(OR(F286="",F286-VLOOKUP($A283,WAWstandards,12,FALSE)&lt;0),0,INT(VLOOKUP($A283,WAWstandards,11,FALSE)*(F286-VLOOKUP($A283,WAWstandards,12,FALSE))^VLOOKUP($A283,WAWstandards,13,FALSE)+0.5))</f>
        <v>478</v>
      </c>
      <c r="J286" s="32">
        <f>IF(F286="","",IF(F286-VLOOKUP($A283,WAWstandards,VLOOKUP(D286,Wage,2,FALSE),FALSE)&lt;0,"","aw"))</f>
      </c>
      <c r="K286" s="39">
        <f t="shared" si="43"/>
      </c>
      <c r="L286" s="39">
        <f t="shared" si="43"/>
      </c>
      <c r="M286" s="39">
        <f t="shared" si="43"/>
        <v>2</v>
      </c>
      <c r="N286" s="39">
        <f t="shared" si="43"/>
      </c>
      <c r="O286" s="39"/>
      <c r="P286" s="35"/>
      <c r="R286" t="s">
        <v>806</v>
      </c>
    </row>
    <row r="287" spans="1:18" ht="12.75">
      <c r="A287" s="92" t="s">
        <v>322</v>
      </c>
      <c r="B287" s="110">
        <v>4</v>
      </c>
      <c r="C287" s="26" t="str">
        <f>IF(A287="","",VLOOKUP($A283,IF(LEN(A287)=2,WSB,WSA),VLOOKUP(LEFT(A287,1),Teams,6,FALSE),FALSE))</f>
        <v>Laura Baliman</v>
      </c>
      <c r="D287" s="26" t="str">
        <f>IF(A287="","",VLOOKUP($A283,IF(LEN(A287)=2,WSB,WSA),VLOOKUP(LEFT(A287,1),Teams,7,FALSE),FALSE))</f>
        <v>U17</v>
      </c>
      <c r="E287" s="26" t="str">
        <f>IF(A287="","",VLOOKUP(LEFT(A287,1),Teams,2,FALSE))</f>
        <v>Tonbridge</v>
      </c>
      <c r="F287" s="94" t="s">
        <v>26</v>
      </c>
      <c r="G287" s="95">
        <v>1</v>
      </c>
      <c r="H287" s="14"/>
      <c r="I287" s="35">
        <f>IF(OR(F287="",F287-VLOOKUP($A283,WAWstandards,12,FALSE)&lt;0),0,INT(VLOOKUP($A283,WAWstandards,11,FALSE)*(F287-VLOOKUP($A283,WAWstandards,12,FALSE))^VLOOKUP($A283,WAWstandards,13,FALSE)+0.5))</f>
        <v>318</v>
      </c>
      <c r="J287" s="32">
        <f>IF(F287="","",IF(F287-VLOOKUP($A283,WAWstandards,VLOOKUP(D287,Wage,2,FALSE),FALSE)&lt;0,"","aw"))</f>
      </c>
      <c r="K287" s="39">
        <f t="shared" si="43"/>
      </c>
      <c r="L287" s="39">
        <f t="shared" si="43"/>
      </c>
      <c r="M287" s="39">
        <f t="shared" si="43"/>
      </c>
      <c r="N287" s="39">
        <f t="shared" si="43"/>
        <v>1</v>
      </c>
      <c r="O287" s="39">
        <f>10-SUM(K284:N287)</f>
        <v>0</v>
      </c>
      <c r="P287" s="35"/>
      <c r="R287" t="s">
        <v>806</v>
      </c>
    </row>
    <row r="288" spans="1:16" ht="12.75">
      <c r="A288" s="106" t="s">
        <v>905</v>
      </c>
      <c r="B288" s="17"/>
      <c r="C288" s="27" t="s">
        <v>718</v>
      </c>
      <c r="D288" s="28"/>
      <c r="E288" s="29"/>
      <c r="F288" s="8"/>
      <c r="G288" s="42"/>
      <c r="H288" s="14"/>
      <c r="I288" s="35"/>
      <c r="J288" s="35"/>
      <c r="K288" s="39"/>
      <c r="L288" s="39"/>
      <c r="M288" s="39"/>
      <c r="N288" s="39"/>
      <c r="O288" s="39"/>
      <c r="P288" s="35" t="s">
        <v>923</v>
      </c>
    </row>
    <row r="289" spans="1:18" ht="12.75">
      <c r="A289" s="92" t="s">
        <v>320</v>
      </c>
      <c r="B289" s="109">
        <v>1</v>
      </c>
      <c r="C289" s="26" t="str">
        <f>IF(A289="","",VLOOKUP($A288,IF(LEN(A289)=2,WSB,WSA),VLOOKUP(LEFT(A289,1),Teams,6,FALSE),FALSE))</f>
        <v>Trudi Carter</v>
      </c>
      <c r="D289" s="26" t="str">
        <f>IF(A289="","",VLOOKUP($A288,IF(LEN(A289)=2,WSB,WSA),VLOOKUP(LEFT(A289,1),Teams,7,FALSE),FALSE))</f>
        <v>W40</v>
      </c>
      <c r="E289" s="26" t="str">
        <f>IF(A289="","",VLOOKUP(LEFT(A289,1),Teams,2,FALSE))</f>
        <v>Team Dorset</v>
      </c>
      <c r="F289" s="94" t="s">
        <v>1049</v>
      </c>
      <c r="G289" s="95">
        <v>4</v>
      </c>
      <c r="H289" s="14"/>
      <c r="I289" s="35">
        <f>IF(OR(F289="",F289-VLOOKUP($A288,WAWstandards,12,FALSE)&lt;0),0,INT(VLOOKUP($A288,WAWstandards,11,FALSE)*(F289-VLOOKUP($A288,WAWstandards,12,FALSE))^VLOOKUP($A288,WAWstandards,13,FALSE)+0.5))</f>
        <v>642</v>
      </c>
      <c r="J289" s="32" t="str">
        <f>IF(F289="","",IF(F289-VLOOKUP($A288,WAWstandards,VLOOKUP(D289,Wage,2,FALSE),FALSE)&lt;0,"","aw"))</f>
        <v>aw</v>
      </c>
      <c r="K289" s="39">
        <f t="shared" si="43"/>
      </c>
      <c r="L289" s="39">
        <f t="shared" si="43"/>
      </c>
      <c r="M289" s="39">
        <f t="shared" si="43"/>
        <v>4</v>
      </c>
      <c r="N289" s="39">
        <f t="shared" si="43"/>
      </c>
      <c r="O289" s="39"/>
      <c r="P289" s="35"/>
      <c r="R289" t="s">
        <v>809</v>
      </c>
    </row>
    <row r="290" spans="1:18" ht="12.75">
      <c r="A290" s="92" t="s">
        <v>312</v>
      </c>
      <c r="B290" s="109">
        <v>2</v>
      </c>
      <c r="C290" s="26" t="str">
        <f>IF(A290="","",VLOOKUP($A288,IF(LEN(A290)=2,WSB,WSA),VLOOKUP(LEFT(A290,1),Teams,6,FALSE),FALSE))</f>
        <v>Julia Machin</v>
      </c>
      <c r="D290" s="26" t="str">
        <f>IF(A290="","",VLOOKUP($A288,IF(LEN(A290)=2,WSB,WSA),VLOOKUP(LEFT(A290,1),Teams,7,FALSE),FALSE))</f>
        <v>W40</v>
      </c>
      <c r="E290" s="26" t="str">
        <f>IF(A290="","",VLOOKUP(LEFT(A290,1),Teams,2,FALSE))</f>
        <v>Epsom &amp; Ewell</v>
      </c>
      <c r="F290" s="94" t="s">
        <v>538</v>
      </c>
      <c r="G290" s="95">
        <v>3</v>
      </c>
      <c r="H290" s="14"/>
      <c r="I290" s="35">
        <f>IF(OR(F290="",F290-VLOOKUP($A288,WAWstandards,12,FALSE)&lt;0),0,INT(VLOOKUP($A288,WAWstandards,11,FALSE)*(F290-VLOOKUP($A288,WAWstandards,12,FALSE))^VLOOKUP($A288,WAWstandards,13,FALSE)+0.5))</f>
        <v>393</v>
      </c>
      <c r="J290" s="32" t="str">
        <f>IF(F290="","",IF(F290-VLOOKUP($A288,WAWstandards,VLOOKUP(D290,Wage,2,FALSE),FALSE)&lt;0,"","aw"))</f>
        <v>aw</v>
      </c>
      <c r="K290" s="39">
        <f t="shared" si="43"/>
        <v>3</v>
      </c>
      <c r="L290" s="39">
        <f t="shared" si="43"/>
      </c>
      <c r="M290" s="39">
        <f t="shared" si="43"/>
      </c>
      <c r="N290" s="39">
        <f t="shared" si="43"/>
      </c>
      <c r="O290" s="39"/>
      <c r="P290" s="35"/>
      <c r="R290" t="s">
        <v>809</v>
      </c>
    </row>
    <row r="291" spans="1:18" ht="12.75">
      <c r="A291" s="92" t="s">
        <v>315</v>
      </c>
      <c r="B291" s="110">
        <v>3</v>
      </c>
      <c r="C291" s="26" t="str">
        <f>IF(A291="","",VLOOKUP($A288,IF(LEN(A291)=2,WSB,WSA),VLOOKUP(LEFT(A291,1),Teams,6,FALSE),FALSE))</f>
        <v>Becy Owen</v>
      </c>
      <c r="D291" s="26" t="str">
        <f>IF(A291="","",VLOOKUP($A288,IF(LEN(A291)=2,WSB,WSA),VLOOKUP(LEFT(A291,1),Teams,7,FALSE),FALSE))</f>
        <v>SW</v>
      </c>
      <c r="E291" s="26" t="str">
        <f>IF(A291="","",VLOOKUP(LEFT(A291,1),Teams,2,FALSE))</f>
        <v>Crawley</v>
      </c>
      <c r="F291" s="94" t="s">
        <v>538</v>
      </c>
      <c r="G291" s="95">
        <v>2</v>
      </c>
      <c r="H291" s="14"/>
      <c r="I291" s="35">
        <f>IF(OR(F291="",F291-VLOOKUP($A288,WAWstandards,12,FALSE)&lt;0),0,INT(VLOOKUP($A288,WAWstandards,11,FALSE)*(F291-VLOOKUP($A288,WAWstandards,12,FALSE))^VLOOKUP($A288,WAWstandards,13,FALSE)+0.5))</f>
        <v>393</v>
      </c>
      <c r="J291" s="32">
        <f>IF(F291="","",IF(F291-VLOOKUP($A288,WAWstandards,VLOOKUP(D291,Wage,2,FALSE),FALSE)&lt;0,"","aw"))</f>
      </c>
      <c r="K291" s="39">
        <f t="shared" si="43"/>
      </c>
      <c r="L291" s="39">
        <f t="shared" si="43"/>
        <v>2</v>
      </c>
      <c r="M291" s="39">
        <f t="shared" si="43"/>
      </c>
      <c r="N291" s="39">
        <f t="shared" si="43"/>
      </c>
      <c r="O291" s="39"/>
      <c r="P291" s="35"/>
      <c r="R291" t="s">
        <v>809</v>
      </c>
    </row>
    <row r="292" spans="1:18" ht="12.75">
      <c r="A292" s="92"/>
      <c r="B292" s="110">
        <v>4</v>
      </c>
      <c r="C292" s="26">
        <f>IF(A292="","",VLOOKUP($A288,IF(LEN(A292)=2,WSB,WSA),VLOOKUP(LEFT(A292,1),Teams,6,FALSE),FALSE))</f>
      </c>
      <c r="D292" s="26">
        <f>IF(A292="","",VLOOKUP($A288,IF(LEN(A292)=2,WSB,WSA),VLOOKUP(LEFT(A292,1),Teams,7,FALSE),FALSE))</f>
      </c>
      <c r="E292" s="26">
        <f>IF(A292="","",VLOOKUP(LEFT(A292,1),Teams,2,FALSE))</f>
      </c>
      <c r="F292" s="94"/>
      <c r="G292" s="95">
        <v>1</v>
      </c>
      <c r="H292" s="14"/>
      <c r="I292" s="35">
        <f>IF(OR(F292="",F292-VLOOKUP($A288,WAWstandards,12,FALSE)&lt;0),0,INT(VLOOKUP($A288,WAWstandards,11,FALSE)*(F292-VLOOKUP($A288,WAWstandards,12,FALSE))^VLOOKUP($A288,WAWstandards,13,FALSE)+0.5))</f>
        <v>0</v>
      </c>
      <c r="J292" s="32">
        <f>IF(F292="","",IF(F292-VLOOKUP($A288,WAWstandards,VLOOKUP(D292,Wage,2,FALSE),FALSE)&lt;0,"","aw"))</f>
      </c>
      <c r="K292" s="39">
        <f t="shared" si="43"/>
      </c>
      <c r="L292" s="39">
        <f t="shared" si="43"/>
      </c>
      <c r="M292" s="39">
        <f t="shared" si="43"/>
      </c>
      <c r="N292" s="39">
        <f t="shared" si="43"/>
      </c>
      <c r="O292" s="39">
        <f>10-SUM(K289:N292)</f>
        <v>1</v>
      </c>
      <c r="P292" s="35"/>
      <c r="R292" t="s">
        <v>809</v>
      </c>
    </row>
    <row r="293" spans="1:16" ht="12.75">
      <c r="A293" s="106" t="s">
        <v>905</v>
      </c>
      <c r="B293" s="17"/>
      <c r="C293" s="27" t="s">
        <v>719</v>
      </c>
      <c r="D293" s="28"/>
      <c r="E293" s="29"/>
      <c r="F293" s="8"/>
      <c r="G293" s="42"/>
      <c r="H293" s="14"/>
      <c r="I293" s="35"/>
      <c r="J293" s="35"/>
      <c r="K293" s="39"/>
      <c r="L293" s="39"/>
      <c r="M293" s="39"/>
      <c r="N293" s="39"/>
      <c r="O293" s="39"/>
      <c r="P293" s="35" t="s">
        <v>924</v>
      </c>
    </row>
    <row r="294" spans="1:18" ht="12.75">
      <c r="A294" s="92" t="s">
        <v>313</v>
      </c>
      <c r="B294" s="109">
        <v>1</v>
      </c>
      <c r="C294" s="26" t="str">
        <f>IF(A294="","",VLOOKUP($A293,IF(LEN(A294)=2,WSB,WSA),VLOOKUP(LEFT(A294,1),Teams,6,FALSE),FALSE))</f>
        <v>Lizzie Thompson</v>
      </c>
      <c r="D294" s="26" t="str">
        <f>IF(A294="","",VLOOKUP($A293,IF(LEN(A294)=2,WSB,WSA),VLOOKUP(LEFT(A294,1),Teams,7,FALSE),FALSE))</f>
        <v>SW</v>
      </c>
      <c r="E294" s="26" t="str">
        <f>IF(A294="","",VLOOKUP(LEFT(A294,1),Teams,2,FALSE))</f>
        <v>Epsom &amp; Ewell</v>
      </c>
      <c r="F294" s="94" t="s">
        <v>543</v>
      </c>
      <c r="G294" s="95">
        <v>4</v>
      </c>
      <c r="H294" s="14"/>
      <c r="I294" s="35">
        <f>IF(OR(F294="",F294-VLOOKUP($A293,WAWstandards,12,FALSE)&lt;0),0,INT(VLOOKUP($A293,WAWstandards,11,FALSE)*(F294-VLOOKUP($A293,WAWstandards,12,FALSE))^VLOOKUP($A293,WAWstandards,13,FALSE)+0.5))</f>
        <v>214</v>
      </c>
      <c r="J294" s="32">
        <f>IF(F294="","",IF(F294-VLOOKUP($A293,WAWstandards,VLOOKUP(D294,Wage,2,FALSE),FALSE)&lt;0,"","aw"))</f>
      </c>
      <c r="K294" s="39">
        <f t="shared" si="43"/>
        <v>4</v>
      </c>
      <c r="L294" s="39">
        <f t="shared" si="43"/>
      </c>
      <c r="M294" s="39">
        <f t="shared" si="43"/>
      </c>
      <c r="N294" s="39">
        <f t="shared" si="43"/>
      </c>
      <c r="O294" s="39"/>
      <c r="P294" s="35"/>
      <c r="R294" t="s">
        <v>809</v>
      </c>
    </row>
    <row r="295" spans="1:18" ht="12.75">
      <c r="A295" s="92"/>
      <c r="B295" s="109">
        <v>2</v>
      </c>
      <c r="C295" s="26">
        <f>IF(A295="","",VLOOKUP($A293,IF(LEN(A295)=2,WSB,WSA),VLOOKUP(LEFT(A295,1),Teams,6,FALSE),FALSE))</f>
      </c>
      <c r="D295" s="26">
        <f>IF(A295="","",VLOOKUP($A293,IF(LEN(A295)=2,WSB,WSA),VLOOKUP(LEFT(A295,1),Teams,7,FALSE),FALSE))</f>
      </c>
      <c r="E295" s="26">
        <f>IF(A295="","",VLOOKUP(LEFT(A295,1),Teams,2,FALSE))</f>
      </c>
      <c r="F295" s="94"/>
      <c r="G295" s="95">
        <v>3</v>
      </c>
      <c r="H295" s="14"/>
      <c r="I295" s="35">
        <f>IF(OR(F295="",F295-VLOOKUP($A293,WAWstandards,12,FALSE)&lt;0),0,INT(VLOOKUP($A293,WAWstandards,11,FALSE)*(F295-VLOOKUP($A293,WAWstandards,12,FALSE))^VLOOKUP($A293,WAWstandards,13,FALSE)+0.5))</f>
        <v>0</v>
      </c>
      <c r="J295" s="32">
        <f>IF(F295="","",IF(F295-VLOOKUP($A293,WAWstandards,VLOOKUP(D295,Wage,2,FALSE),FALSE)&lt;0,"","aw"))</f>
      </c>
      <c r="K295" s="39">
        <f aca="true" t="shared" si="44" ref="K295:N297">IF($A295="","",IF(LEFT($A295,1)=K$8,$G295,""))</f>
      </c>
      <c r="L295" s="39">
        <f t="shared" si="44"/>
      </c>
      <c r="M295" s="39">
        <f t="shared" si="44"/>
      </c>
      <c r="N295" s="39">
        <f t="shared" si="44"/>
      </c>
      <c r="O295" s="39"/>
      <c r="P295" s="35"/>
      <c r="R295" t="s">
        <v>809</v>
      </c>
    </row>
    <row r="296" spans="1:18" ht="12.75">
      <c r="A296" s="92"/>
      <c r="B296" s="109">
        <v>3</v>
      </c>
      <c r="C296" s="26">
        <f>IF(A296="","",VLOOKUP($A293,IF(LEN(A296)=2,WSB,WSA),VLOOKUP(LEFT(A296,1),Teams,6,FALSE),FALSE))</f>
      </c>
      <c r="D296" s="26">
        <f>IF(A296="","",VLOOKUP($A293,IF(LEN(A296)=2,WSB,WSA),VLOOKUP(LEFT(A296,1),Teams,7,FALSE),FALSE))</f>
      </c>
      <c r="E296" s="26">
        <f>IF(A296="","",VLOOKUP(LEFT(A296,1),Teams,2,FALSE))</f>
      </c>
      <c r="F296" s="94"/>
      <c r="G296" s="95">
        <v>2</v>
      </c>
      <c r="H296" s="14"/>
      <c r="I296" s="35">
        <f>IF(OR(F296="",F296-VLOOKUP($A293,WAWstandards,12,FALSE)&lt;0),0,INT(VLOOKUP($A293,WAWstandards,11,FALSE)*(F296-VLOOKUP($A293,WAWstandards,12,FALSE))^VLOOKUP($A293,WAWstandards,13,FALSE)+0.5))</f>
        <v>0</v>
      </c>
      <c r="J296" s="32">
        <f>IF(F296="","",IF(F296-VLOOKUP($A293,WAWstandards,VLOOKUP(D296,Wage,2,FALSE),FALSE)&lt;0,"","aw"))</f>
      </c>
      <c r="K296" s="39">
        <f t="shared" si="44"/>
      </c>
      <c r="L296" s="39">
        <f t="shared" si="44"/>
      </c>
      <c r="M296" s="39">
        <f t="shared" si="44"/>
      </c>
      <c r="N296" s="39">
        <f t="shared" si="44"/>
      </c>
      <c r="O296" s="39"/>
      <c r="P296" s="35"/>
      <c r="R296" t="s">
        <v>809</v>
      </c>
    </row>
    <row r="297" spans="1:18" ht="12.75">
      <c r="A297" s="92"/>
      <c r="B297" s="109">
        <v>4</v>
      </c>
      <c r="C297" s="26">
        <f>IF(A297="","",VLOOKUP($A293,IF(LEN(A297)=2,WSB,WSA),VLOOKUP(LEFT(A297,1),Teams,6,FALSE),FALSE))</f>
      </c>
      <c r="D297" s="26">
        <f>IF(A297="","",VLOOKUP($A293,IF(LEN(A297)=2,WSB,WSA),VLOOKUP(LEFT(A297,1),Teams,7,FALSE),FALSE))</f>
      </c>
      <c r="E297" s="26">
        <f>IF(A297="","",VLOOKUP(LEFT(A297,1),Teams,2,FALSE))</f>
      </c>
      <c r="F297" s="94"/>
      <c r="G297" s="95">
        <v>1</v>
      </c>
      <c r="H297" s="14"/>
      <c r="I297" s="35">
        <f>IF(OR(F297="",F297-VLOOKUP($A293,WAWstandards,12,FALSE)&lt;0),0,INT(VLOOKUP($A293,WAWstandards,11,FALSE)*(F297-VLOOKUP($A293,WAWstandards,12,FALSE))^VLOOKUP($A293,WAWstandards,13,FALSE)+0.5))</f>
        <v>0</v>
      </c>
      <c r="J297" s="32">
        <f>IF(F297="","",IF(F297-VLOOKUP($A293,WAWstandards,VLOOKUP(D297,Wage,2,FALSE),FALSE)&lt;0,"","aw"))</f>
      </c>
      <c r="K297" s="39">
        <f t="shared" si="44"/>
      </c>
      <c r="L297" s="39">
        <f t="shared" si="44"/>
      </c>
      <c r="M297" s="39">
        <f t="shared" si="44"/>
      </c>
      <c r="N297" s="39">
        <f t="shared" si="44"/>
      </c>
      <c r="O297" s="39">
        <f>10-SUM(K294:N297)</f>
        <v>6</v>
      </c>
      <c r="P297" s="35"/>
      <c r="R297" t="s">
        <v>809</v>
      </c>
    </row>
    <row r="298" spans="1:16" ht="12.75">
      <c r="A298" s="106" t="s">
        <v>900</v>
      </c>
      <c r="B298" s="17"/>
      <c r="C298" s="27" t="s">
        <v>720</v>
      </c>
      <c r="D298" s="28"/>
      <c r="E298" s="29"/>
      <c r="F298" s="8"/>
      <c r="G298" s="42"/>
      <c r="H298" s="14" t="s">
        <v>967</v>
      </c>
      <c r="I298" s="35"/>
      <c r="J298" s="35"/>
      <c r="K298" s="39"/>
      <c r="L298" s="39"/>
      <c r="M298" s="39"/>
      <c r="N298" s="39"/>
      <c r="O298" s="39"/>
      <c r="P298" s="35" t="s">
        <v>925</v>
      </c>
    </row>
    <row r="299" spans="1:18" ht="12.75">
      <c r="A299" s="92" t="s">
        <v>315</v>
      </c>
      <c r="B299" s="109">
        <v>1</v>
      </c>
      <c r="C299" s="26" t="str">
        <f>IF(A299="","",VLOOKUP($A298,IF(LEN(A299)=2,WSB,WSA),VLOOKUP(LEFT(A299,1),Teams,6,FALSE),FALSE))</f>
        <v>Jo Rowland</v>
      </c>
      <c r="D299" s="26" t="str">
        <f>IF(A299="","",VLOOKUP($A298,IF(LEN(A299)=2,WSB,WSA),VLOOKUP(LEFT(A299,1),Teams,7,FALSE),FALSE))</f>
        <v>SW</v>
      </c>
      <c r="E299" s="26" t="str">
        <f>IF(A299="","",VLOOKUP(LEFT(A299,1),Teams,2,FALSE))</f>
        <v>Crawley</v>
      </c>
      <c r="F299" s="94" t="s">
        <v>1042</v>
      </c>
      <c r="G299" s="95">
        <v>4</v>
      </c>
      <c r="H299" s="98"/>
      <c r="I299" s="35">
        <f>IF(OR(F299="",F299-VLOOKUP($A298,WAWstandards,12,FALSE)&lt;0),0,INT(VLOOKUP($A298,WAWstandards,11,FALSE)*(F299-VLOOKUP($A298,WAWstandards,12,FALSE))^VLOOKUP($A298,WAWstandards,13,FALSE)+0.5))</f>
        <v>813</v>
      </c>
      <c r="J299" s="32" t="str">
        <f>IF(F299="","",IF(F299-VLOOKUP($A298,WAWstandards,VLOOKUP(D299,Wage,2,FALSE),FALSE)&lt;0,"","aw"))</f>
        <v>aw</v>
      </c>
      <c r="K299" s="39">
        <f aca="true" t="shared" si="45" ref="K299:N302">IF($A299="","",IF(LEFT($A299,1)=K$8,$G299,""))</f>
      </c>
      <c r="L299" s="39">
        <f t="shared" si="45"/>
        <v>4</v>
      </c>
      <c r="M299" s="39">
        <f t="shared" si="45"/>
      </c>
      <c r="N299" s="39">
        <f t="shared" si="45"/>
      </c>
      <c r="O299" s="39"/>
      <c r="P299" s="35"/>
      <c r="R299" t="s">
        <v>808</v>
      </c>
    </row>
    <row r="300" spans="1:18" ht="12.75">
      <c r="A300" s="92" t="s">
        <v>312</v>
      </c>
      <c r="B300" s="109">
        <v>2</v>
      </c>
      <c r="C300" s="26" t="str">
        <f>IF(A300="","",VLOOKUP($A298,IF(LEN(A300)=2,WSB,WSA),VLOOKUP(LEFT(A300,1),Teams,6,FALSE),FALSE))</f>
        <v>Diana Norman</v>
      </c>
      <c r="D300" s="26" t="str">
        <f>IF(A300="","",VLOOKUP($A298,IF(LEN(A300)=2,WSB,WSA),VLOOKUP(LEFT(A300,1),Teams,7,FALSE),FALSE))</f>
        <v>W40</v>
      </c>
      <c r="E300" s="26" t="str">
        <f>IF(A300="","",VLOOKUP(LEFT(A300,1),Teams,2,FALSE))</f>
        <v>Epsom &amp; Ewell</v>
      </c>
      <c r="F300" s="94" t="s">
        <v>344</v>
      </c>
      <c r="G300" s="95">
        <v>3</v>
      </c>
      <c r="H300" s="98"/>
      <c r="I300" s="35">
        <f>IF(OR(F300="",F300-VLOOKUP($A298,WAWstandards,12,FALSE)&lt;0),0,INT(VLOOKUP($A298,WAWstandards,11,FALSE)*(F300-VLOOKUP($A298,WAWstandards,12,FALSE))^VLOOKUP($A298,WAWstandards,13,FALSE)+0.5))</f>
        <v>724</v>
      </c>
      <c r="J300" s="32" t="str">
        <f>IF(F300="","",IF(F300-VLOOKUP($A298,WAWstandards,VLOOKUP(D300,Wage,2,FALSE),FALSE)&lt;0,"","aw"))</f>
        <v>aw</v>
      </c>
      <c r="K300" s="39">
        <f t="shared" si="45"/>
        <v>3</v>
      </c>
      <c r="L300" s="39">
        <f t="shared" si="45"/>
      </c>
      <c r="M300" s="39">
        <f t="shared" si="45"/>
      </c>
      <c r="N300" s="39">
        <f t="shared" si="45"/>
      </c>
      <c r="O300" s="39"/>
      <c r="P300" s="35"/>
      <c r="R300" t="s">
        <v>808</v>
      </c>
    </row>
    <row r="301" spans="1:18" ht="12.75">
      <c r="A301" s="92" t="s">
        <v>327</v>
      </c>
      <c r="B301" s="109">
        <v>3</v>
      </c>
      <c r="C301" s="26" t="str">
        <f>IF(A301="","",VLOOKUP($A298,IF(LEN(A301)=2,WSB,WSA),VLOOKUP(LEFT(A301,1),Teams,6,FALSE),FALSE))</f>
        <v>Joanne Ware</v>
      </c>
      <c r="D301" s="26" t="str">
        <f>IF(A301="","",VLOOKUP($A298,IF(LEN(A301)=2,WSB,WSA),VLOOKUP(LEFT(A301,1),Teams,7,FALSE),FALSE))</f>
        <v>U20</v>
      </c>
      <c r="E301" s="26" t="str">
        <f>IF(A301="","",VLOOKUP(LEFT(A301,1),Teams,2,FALSE))</f>
        <v>Tonbridge</v>
      </c>
      <c r="F301" s="94" t="s">
        <v>345</v>
      </c>
      <c r="G301" s="95">
        <v>2</v>
      </c>
      <c r="H301" s="98"/>
      <c r="I301" s="35">
        <f>IF(OR(F301="",F301-VLOOKUP($A298,WAWstandards,12,FALSE)&lt;0),0,INT(VLOOKUP($A298,WAWstandards,11,FALSE)*(F301-VLOOKUP($A298,WAWstandards,12,FALSE))^VLOOKUP($A298,WAWstandards,13,FALSE)+0.5))</f>
        <v>660</v>
      </c>
      <c r="J301" s="32" t="str">
        <f>IF(F301="","",IF(F301-VLOOKUP($A298,WAWstandards,VLOOKUP(D301,Wage,2,FALSE),FALSE)&lt;0,"","aw"))</f>
        <v>aw</v>
      </c>
      <c r="K301" s="39">
        <f t="shared" si="45"/>
      </c>
      <c r="L301" s="39">
        <f t="shared" si="45"/>
      </c>
      <c r="M301" s="39">
        <f t="shared" si="45"/>
      </c>
      <c r="N301" s="39">
        <f t="shared" si="45"/>
        <v>2</v>
      </c>
      <c r="O301" s="39"/>
      <c r="P301" s="35"/>
      <c r="R301" t="s">
        <v>808</v>
      </c>
    </row>
    <row r="302" spans="1:18" ht="12.75">
      <c r="A302" s="92" t="s">
        <v>320</v>
      </c>
      <c r="B302" s="109">
        <v>4</v>
      </c>
      <c r="C302" s="26" t="str">
        <f>IF(A302="","",VLOOKUP($A298,IF(LEN(A302)=2,WSB,WSA),VLOOKUP(LEFT(A302,1),Teams,6,FALSE),FALSE))</f>
        <v>Charlotte Offer</v>
      </c>
      <c r="D302" s="26" t="str">
        <f>IF(A302="","",VLOOKUP($A298,IF(LEN(A302)=2,WSB,WSA),VLOOKUP(LEFT(A302,1),Teams,7,FALSE),FALSE))</f>
        <v>U17</v>
      </c>
      <c r="E302" s="26" t="str">
        <f>IF(A302="","",VLOOKUP(LEFT(A302,1),Teams,2,FALSE))</f>
        <v>Team Dorset</v>
      </c>
      <c r="F302" s="94" t="s">
        <v>346</v>
      </c>
      <c r="G302" s="95">
        <v>1</v>
      </c>
      <c r="H302" s="98"/>
      <c r="I302" s="35">
        <f>IF(OR(F302="",F302-VLOOKUP($A298,WAWstandards,12,FALSE)&lt;0),0,INT(VLOOKUP($A298,WAWstandards,11,FALSE)*(F302-VLOOKUP($A298,WAWstandards,12,FALSE))^VLOOKUP($A298,WAWstandards,13,FALSE)+0.5))</f>
        <v>390</v>
      </c>
      <c r="J302" s="32">
        <f>IF(F302="","",IF(F302-VLOOKUP($A298,WAWstandards,VLOOKUP(D302,Wage,2,FALSE),FALSE)&lt;0,"","aw"))</f>
      </c>
      <c r="K302" s="39">
        <f t="shared" si="45"/>
      </c>
      <c r="L302" s="39">
        <f t="shared" si="45"/>
      </c>
      <c r="M302" s="39">
        <f t="shared" si="45"/>
        <v>1</v>
      </c>
      <c r="N302" s="39">
        <f t="shared" si="45"/>
      </c>
      <c r="O302" s="39">
        <f>10-SUM(K299:N302)</f>
        <v>0</v>
      </c>
      <c r="P302" s="35"/>
      <c r="R302" t="s">
        <v>808</v>
      </c>
    </row>
    <row r="303" spans="1:16" ht="12.75">
      <c r="A303" s="106" t="s">
        <v>900</v>
      </c>
      <c r="B303" s="17"/>
      <c r="C303" s="27" t="s">
        <v>721</v>
      </c>
      <c r="D303" s="28"/>
      <c r="E303" s="29"/>
      <c r="F303" s="8"/>
      <c r="G303" s="42"/>
      <c r="H303" s="14" t="s">
        <v>967</v>
      </c>
      <c r="I303" s="35"/>
      <c r="J303" s="35"/>
      <c r="K303" s="39"/>
      <c r="L303" s="39"/>
      <c r="M303" s="39"/>
      <c r="N303" s="39"/>
      <c r="O303" s="39"/>
      <c r="P303" s="35" t="s">
        <v>926</v>
      </c>
    </row>
    <row r="304" spans="1:18" ht="12.75">
      <c r="A304" s="92" t="s">
        <v>321</v>
      </c>
      <c r="B304" s="109">
        <v>1</v>
      </c>
      <c r="C304" s="26" t="str">
        <f>IF(A304="","",VLOOKUP($A303,IF(LEN(A304)=2,WSB,WSA),VLOOKUP(LEFT(A304,1),Teams,6,FALSE),FALSE))</f>
        <v>Becky Owen</v>
      </c>
      <c r="D304" s="26" t="str">
        <f>IF(A304="","",VLOOKUP($A303,IF(LEN(A304)=2,WSB,WSA),VLOOKUP(LEFT(A304,1),Teams,7,FALSE),FALSE))</f>
        <v>SW</v>
      </c>
      <c r="E304" s="26" t="str">
        <f>IF(A304="","",VLOOKUP(LEFT(A304,1),Teams,2,FALSE))</f>
        <v>Crawley</v>
      </c>
      <c r="F304" s="94" t="s">
        <v>347</v>
      </c>
      <c r="G304" s="95">
        <v>4</v>
      </c>
      <c r="H304" s="98"/>
      <c r="I304" s="35">
        <f>IF(OR(F304="",F304-VLOOKUP($A303,WAWstandards,12,FALSE)&lt;0),0,INT(VLOOKUP($A303,WAWstandards,11,FALSE)*(F304-VLOOKUP($A303,WAWstandards,12,FALSE))^VLOOKUP($A303,WAWstandards,13,FALSE)+0.5))</f>
        <v>653</v>
      </c>
      <c r="J304" s="32" t="str">
        <f>IF(F304="","",IF(F304-VLOOKUP($A303,WAWstandards,VLOOKUP(D304,Wage,2,FALSE),FALSE)&lt;0,"","aw"))</f>
        <v>aw</v>
      </c>
      <c r="K304" s="39">
        <f aca="true" t="shared" si="46" ref="K304:N307">IF($A304="","",IF(LEFT($A304,1)=K$8,$G304,""))</f>
      </c>
      <c r="L304" s="39">
        <f t="shared" si="46"/>
        <v>4</v>
      </c>
      <c r="M304" s="39">
        <f t="shared" si="46"/>
      </c>
      <c r="N304" s="39">
        <f t="shared" si="46"/>
      </c>
      <c r="O304" s="39"/>
      <c r="P304" s="35"/>
      <c r="R304" t="s">
        <v>808</v>
      </c>
    </row>
    <row r="305" spans="1:18" ht="12.75">
      <c r="A305" s="92" t="s">
        <v>322</v>
      </c>
      <c r="B305" s="109">
        <v>2</v>
      </c>
      <c r="C305" s="26" t="str">
        <f>IF(A305="","",VLOOKUP($A303,IF(LEN(A305)=2,WSB,WSA),VLOOKUP(LEFT(A305,1),Teams,6,FALSE),FALSE))</f>
        <v>Eleanor Ribbits</v>
      </c>
      <c r="D305" s="26" t="str">
        <f>IF(A305="","",VLOOKUP($A303,IF(LEN(A305)=2,WSB,WSA),VLOOKUP(LEFT(A305,1),Teams,7,FALSE),FALSE))</f>
        <v>U17</v>
      </c>
      <c r="E305" s="26" t="str">
        <f>IF(A305="","",VLOOKUP(LEFT(A305,1),Teams,2,FALSE))</f>
        <v>Tonbridge</v>
      </c>
      <c r="F305" s="94" t="s">
        <v>64</v>
      </c>
      <c r="G305" s="95">
        <v>3</v>
      </c>
      <c r="H305" s="98"/>
      <c r="I305" s="35">
        <f>IF(OR(F305="",F305-VLOOKUP($A303,WAWstandards,12,FALSE)&lt;0),0,INT(VLOOKUP($A303,WAWstandards,11,FALSE)*(F305-VLOOKUP($A303,WAWstandards,12,FALSE))^VLOOKUP($A303,WAWstandards,13,FALSE)+0.5))</f>
        <v>437</v>
      </c>
      <c r="J305" s="32">
        <f>IF(F305="","",IF(F305-VLOOKUP($A303,WAWstandards,VLOOKUP(D305,Wage,2,FALSE),FALSE)&lt;0,"","aw"))</f>
      </c>
      <c r="K305" s="39">
        <f t="shared" si="46"/>
      </c>
      <c r="L305" s="39">
        <f t="shared" si="46"/>
      </c>
      <c r="M305" s="39">
        <f t="shared" si="46"/>
      </c>
      <c r="N305" s="39">
        <f t="shared" si="46"/>
        <v>3</v>
      </c>
      <c r="O305" s="39"/>
      <c r="P305" s="35"/>
      <c r="R305" t="s">
        <v>808</v>
      </c>
    </row>
    <row r="306" spans="1:18" ht="12.75">
      <c r="A306" s="92" t="s">
        <v>313</v>
      </c>
      <c r="B306" s="109">
        <v>3</v>
      </c>
      <c r="C306" s="26" t="str">
        <f>IF(A306="","",VLOOKUP($A303,IF(LEN(A306)=2,WSB,WSA),VLOOKUP(LEFT(A306,1),Teams,6,FALSE),FALSE))</f>
        <v>Emily Alden</v>
      </c>
      <c r="D306" s="26" t="str">
        <f>IF(A306="","",VLOOKUP($A303,IF(LEN(A306)=2,WSB,WSA),VLOOKUP(LEFT(A306,1),Teams,7,FALSE),FALSE))</f>
        <v>SW</v>
      </c>
      <c r="E306" s="26" t="str">
        <f>IF(A306="","",VLOOKUP(LEFT(A306,1),Teams,2,FALSE))</f>
        <v>Epsom &amp; Ewell</v>
      </c>
      <c r="F306" s="94" t="s">
        <v>65</v>
      </c>
      <c r="G306" s="95">
        <v>2</v>
      </c>
      <c r="H306" s="98"/>
      <c r="I306" s="35">
        <f>IF(OR(F306="",F306-VLOOKUP($A303,WAWstandards,12,FALSE)&lt;0),0,INT(VLOOKUP($A303,WAWstandards,11,FALSE)*(F306-VLOOKUP($A303,WAWstandards,12,FALSE))^VLOOKUP($A303,WAWstandards,13,FALSE)+0.5))</f>
        <v>374</v>
      </c>
      <c r="J306" s="32">
        <f>IF(F306="","",IF(F306-VLOOKUP($A303,WAWstandards,VLOOKUP(D306,Wage,2,FALSE),FALSE)&lt;0,"","aw"))</f>
      </c>
      <c r="K306" s="39">
        <f t="shared" si="46"/>
        <v>2</v>
      </c>
      <c r="L306" s="39">
        <f t="shared" si="46"/>
      </c>
      <c r="M306" s="39">
        <f t="shared" si="46"/>
      </c>
      <c r="N306" s="39">
        <f t="shared" si="46"/>
      </c>
      <c r="O306" s="39"/>
      <c r="P306" s="35"/>
      <c r="R306" t="s">
        <v>808</v>
      </c>
    </row>
    <row r="307" spans="1:18" ht="12.75">
      <c r="A307" s="92" t="s">
        <v>328</v>
      </c>
      <c r="B307" s="109">
        <v>4</v>
      </c>
      <c r="C307" s="26" t="str">
        <f>IF(A307="","",VLOOKUP($A303,IF(LEN(A307)=2,WSB,WSA),VLOOKUP(LEFT(A307,1),Teams,6,FALSE),FALSE))</f>
        <v>Maddy Williams </v>
      </c>
      <c r="D307" s="26" t="str">
        <f>IF(A307="","",VLOOKUP($A303,IF(LEN(A307)=2,WSB,WSA),VLOOKUP(LEFT(A307,1),Teams,7,FALSE),FALSE))</f>
        <v>U17</v>
      </c>
      <c r="E307" s="26" t="str">
        <f>IF(A307="","",VLOOKUP(LEFT(A307,1),Teams,2,FALSE))</f>
        <v>Team Dorset</v>
      </c>
      <c r="F307" s="94" t="s">
        <v>66</v>
      </c>
      <c r="G307" s="95">
        <v>1</v>
      </c>
      <c r="H307" s="98"/>
      <c r="I307" s="35">
        <f>IF(OR(F307="",F307-VLOOKUP($A303,WAWstandards,12,FALSE)&lt;0),0,INT(VLOOKUP($A303,WAWstandards,11,FALSE)*(F307-VLOOKUP($A303,WAWstandards,12,FALSE))^VLOOKUP($A303,WAWstandards,13,FALSE)+0.5))</f>
        <v>349</v>
      </c>
      <c r="J307" s="32">
        <f>IF(F307="","",IF(F307-VLOOKUP($A303,WAWstandards,VLOOKUP(D307,Wage,2,FALSE),FALSE)&lt;0,"","aw"))</f>
      </c>
      <c r="K307" s="39">
        <f t="shared" si="46"/>
      </c>
      <c r="L307" s="39">
        <f t="shared" si="46"/>
      </c>
      <c r="M307" s="39">
        <f t="shared" si="46"/>
        <v>1</v>
      </c>
      <c r="N307" s="39">
        <f t="shared" si="46"/>
      </c>
      <c r="O307" s="39">
        <f>10-SUM(K304:N307)</f>
        <v>0</v>
      </c>
      <c r="P307" s="35"/>
      <c r="R307" t="s">
        <v>808</v>
      </c>
    </row>
    <row r="308" spans="1:16" ht="12.75">
      <c r="A308" s="106" t="s">
        <v>901</v>
      </c>
      <c r="B308" s="17"/>
      <c r="C308" s="27" t="s">
        <v>722</v>
      </c>
      <c r="D308" s="28"/>
      <c r="E308" s="29"/>
      <c r="F308" s="8"/>
      <c r="G308" s="42"/>
      <c r="H308" s="14" t="s">
        <v>967</v>
      </c>
      <c r="I308" s="35"/>
      <c r="J308" s="35"/>
      <c r="K308" s="39"/>
      <c r="L308" s="39"/>
      <c r="M308" s="39"/>
      <c r="N308" s="39"/>
      <c r="O308" s="39"/>
      <c r="P308" s="35" t="s">
        <v>927</v>
      </c>
    </row>
    <row r="309" spans="1:18" ht="12.75">
      <c r="A309" s="92" t="s">
        <v>312</v>
      </c>
      <c r="B309" s="109">
        <v>1</v>
      </c>
      <c r="C309" s="26" t="str">
        <f>IF(A309="","",VLOOKUP($A308,IF(LEN(A309)=2,WSB,WSA),VLOOKUP(LEFT(A309,1),Teams,6,FALSE),FALSE))</f>
        <v>Diana Norman</v>
      </c>
      <c r="D309" s="26" t="str">
        <f>IF(A309="","",VLOOKUP($A308,IF(LEN(A309)=2,WSB,WSA),VLOOKUP(LEFT(A309,1),Teams,7,FALSE),FALSE))</f>
        <v>W40</v>
      </c>
      <c r="E309" s="26" t="str">
        <f>IF(A309="","",VLOOKUP(LEFT(A309,1),Teams,2,FALSE))</f>
        <v>Epsom &amp; Ewell</v>
      </c>
      <c r="F309" s="94" t="s">
        <v>220</v>
      </c>
      <c r="G309" s="95">
        <v>4</v>
      </c>
      <c r="H309" s="98"/>
      <c r="I309" s="35">
        <f>IF(OR(F309="",F309-VLOOKUP($A308,WAWstandards,12,FALSE)&lt;0),0,INT(VLOOKUP($A308,WAWstandards,11,FALSE)*(F309-VLOOKUP($A308,WAWstandards,12,FALSE))^VLOOKUP($A308,WAWstandards,13,FALSE)+0.5))</f>
        <v>684</v>
      </c>
      <c r="J309" s="32" t="str">
        <f>IF(F309="","",IF(F309-VLOOKUP($A308,WAWstandards,VLOOKUP(D309,Wage,2,FALSE),FALSE)&lt;0,"","aw"))</f>
        <v>aw</v>
      </c>
      <c r="K309" s="39">
        <f aca="true" t="shared" si="47" ref="K309:N312">IF($A309="","",IF(LEFT($A309,1)=K$8,$G309,""))</f>
        <v>4</v>
      </c>
      <c r="L309" s="39">
        <f t="shared" si="47"/>
      </c>
      <c r="M309" s="39">
        <f t="shared" si="47"/>
      </c>
      <c r="N309" s="39">
        <f t="shared" si="47"/>
      </c>
      <c r="O309" s="39"/>
      <c r="P309" s="35"/>
      <c r="R309" t="s">
        <v>811</v>
      </c>
    </row>
    <row r="310" spans="1:18" ht="12.75">
      <c r="A310" s="92" t="s">
        <v>315</v>
      </c>
      <c r="B310" s="109">
        <v>2</v>
      </c>
      <c r="C310" s="26" t="str">
        <f>IF(A310="","",VLOOKUP($A308,IF(LEN(A310)=2,WSB,WSA),VLOOKUP(LEFT(A310,1),Teams,6,FALSE),FALSE))</f>
        <v>Becy Owen</v>
      </c>
      <c r="D310" s="26" t="str">
        <f>IF(A310="","",VLOOKUP($A308,IF(LEN(A310)=2,WSB,WSA),VLOOKUP(LEFT(A310,1),Teams,7,FALSE),FALSE))</f>
        <v>SW</v>
      </c>
      <c r="E310" s="26" t="str">
        <f>IF(A310="","",VLOOKUP(LEFT(A310,1),Teams,2,FALSE))</f>
        <v>Crawley</v>
      </c>
      <c r="F310" s="94" t="s">
        <v>221</v>
      </c>
      <c r="G310" s="95">
        <v>3</v>
      </c>
      <c r="H310" s="98"/>
      <c r="I310" s="35">
        <f>IF(OR(F310="",F310-VLOOKUP($A308,WAWstandards,12,FALSE)&lt;0),0,INT(VLOOKUP($A308,WAWstandards,11,FALSE)*(F310-VLOOKUP($A308,WAWstandards,12,FALSE))^VLOOKUP($A308,WAWstandards,13,FALSE)+0.5))</f>
        <v>594</v>
      </c>
      <c r="J310" s="32" t="str">
        <f>IF(F310="","",IF(F310-VLOOKUP($A308,WAWstandards,VLOOKUP(D310,Wage,2,FALSE),FALSE)&lt;0,"","aw"))</f>
        <v>aw</v>
      </c>
      <c r="K310" s="39">
        <f t="shared" si="47"/>
      </c>
      <c r="L310" s="39">
        <f t="shared" si="47"/>
        <v>3</v>
      </c>
      <c r="M310" s="39">
        <f t="shared" si="47"/>
      </c>
      <c r="N310" s="39">
        <f t="shared" si="47"/>
      </c>
      <c r="O310" s="39"/>
      <c r="P310" s="35"/>
      <c r="R310" t="s">
        <v>811</v>
      </c>
    </row>
    <row r="311" spans="1:18" ht="12.75">
      <c r="A311" s="92" t="s">
        <v>327</v>
      </c>
      <c r="B311" s="109">
        <v>3</v>
      </c>
      <c r="C311" s="26" t="str">
        <f>IF(A311="","",VLOOKUP($A308,IF(LEN(A311)=2,WSB,WSA),VLOOKUP(LEFT(A311,1),Teams,6,FALSE),FALSE))</f>
        <v>Eleanor Ribbits</v>
      </c>
      <c r="D311" s="26" t="str">
        <f>IF(A311="","",VLOOKUP($A308,IF(LEN(A311)=2,WSB,WSA),VLOOKUP(LEFT(A311,1),Teams,7,FALSE),FALSE))</f>
        <v>U17</v>
      </c>
      <c r="E311" s="26" t="str">
        <f>IF(A311="","",VLOOKUP(LEFT(A311,1),Teams,2,FALSE))</f>
        <v>Tonbridge</v>
      </c>
      <c r="F311" s="94" t="s">
        <v>222</v>
      </c>
      <c r="G311" s="95">
        <v>2</v>
      </c>
      <c r="H311" s="98"/>
      <c r="I311" s="35">
        <f>IF(OR(F311="",F311-VLOOKUP($A308,WAWstandards,12,FALSE)&lt;0),0,INT(VLOOKUP($A308,WAWstandards,11,FALSE)*(F311-VLOOKUP($A308,WAWstandards,12,FALSE))^VLOOKUP($A308,WAWstandards,13,FALSE)+0.5))</f>
        <v>516</v>
      </c>
      <c r="J311" s="32">
        <f>IF(F311="","",IF(F311-VLOOKUP($A308,WAWstandards,VLOOKUP(D311,Wage,2,FALSE),FALSE)&lt;0,"","aw"))</f>
      </c>
      <c r="K311" s="39">
        <f t="shared" si="47"/>
      </c>
      <c r="L311" s="39">
        <f t="shared" si="47"/>
      </c>
      <c r="M311" s="39">
        <f t="shared" si="47"/>
      </c>
      <c r="N311" s="39">
        <f t="shared" si="47"/>
        <v>2</v>
      </c>
      <c r="O311" s="39"/>
      <c r="P311" s="35"/>
      <c r="R311" t="s">
        <v>811</v>
      </c>
    </row>
    <row r="312" spans="1:18" ht="12.75">
      <c r="A312" s="92"/>
      <c r="B312" s="109">
        <v>4</v>
      </c>
      <c r="C312" s="26">
        <f>IF(A312="","",VLOOKUP($A308,IF(LEN(A312)=2,WSB,WSA),VLOOKUP(LEFT(A312,1),Teams,6,FALSE),FALSE))</f>
      </c>
      <c r="D312" s="26">
        <f>IF(A312="","",VLOOKUP($A308,IF(LEN(A312)=2,WSB,WSA),VLOOKUP(LEFT(A312,1),Teams,7,FALSE),FALSE))</f>
      </c>
      <c r="E312" s="26">
        <f>IF(A312="","",VLOOKUP(LEFT(A312,1),Teams,2,FALSE))</f>
      </c>
      <c r="F312" s="94"/>
      <c r="G312" s="95">
        <v>1</v>
      </c>
      <c r="H312" s="98"/>
      <c r="I312" s="35">
        <f>IF(OR(F312="",F312-VLOOKUP($A308,WAWstandards,12,FALSE)&lt;0),0,INT(VLOOKUP($A308,WAWstandards,11,FALSE)*(F312-VLOOKUP($A308,WAWstandards,12,FALSE))^VLOOKUP($A308,WAWstandards,13,FALSE)+0.5))</f>
        <v>0</v>
      </c>
      <c r="J312" s="32">
        <f>IF(F312="","",IF(F312-VLOOKUP($A308,WAWstandards,VLOOKUP(D312,Wage,2,FALSE),FALSE)&lt;0,"","aw"))</f>
      </c>
      <c r="K312" s="39">
        <f t="shared" si="47"/>
      </c>
      <c r="L312" s="39">
        <f t="shared" si="47"/>
      </c>
      <c r="M312" s="39">
        <f t="shared" si="47"/>
      </c>
      <c r="N312" s="39">
        <f t="shared" si="47"/>
      </c>
      <c r="O312" s="39">
        <f>10-SUM(K309:N312)</f>
        <v>1</v>
      </c>
      <c r="P312" s="35"/>
      <c r="R312" t="s">
        <v>811</v>
      </c>
    </row>
    <row r="313" spans="1:16" ht="12.75">
      <c r="A313" s="106" t="s">
        <v>901</v>
      </c>
      <c r="B313" s="17"/>
      <c r="C313" s="27" t="s">
        <v>723</v>
      </c>
      <c r="D313" s="28"/>
      <c r="E313" s="29"/>
      <c r="F313" s="8"/>
      <c r="G313" s="42"/>
      <c r="H313" s="14" t="s">
        <v>967</v>
      </c>
      <c r="I313" s="35"/>
      <c r="J313" s="35"/>
      <c r="K313" s="39"/>
      <c r="L313" s="39"/>
      <c r="M313" s="39"/>
      <c r="N313" s="39"/>
      <c r="O313" s="39"/>
      <c r="P313" s="35" t="s">
        <v>928</v>
      </c>
    </row>
    <row r="314" spans="1:18" ht="12.75">
      <c r="A314" s="92" t="s">
        <v>313</v>
      </c>
      <c r="B314" s="109">
        <v>1</v>
      </c>
      <c r="C314" s="26" t="str">
        <f>IF(A314="","",VLOOKUP($A313,IF(LEN(A314)=2,WSB,WSA),VLOOKUP(LEFT(A314,1),Teams,6,FALSE),FALSE))</f>
        <v>Lizzie Thompson</v>
      </c>
      <c r="D314" s="26" t="str">
        <f>IF(A314="","",VLOOKUP($A313,IF(LEN(A314)=2,WSB,WSA),VLOOKUP(LEFT(A314,1),Teams,7,FALSE),FALSE))</f>
        <v>SW</v>
      </c>
      <c r="E314" s="26" t="str">
        <f>IF(A314="","",VLOOKUP(LEFT(A314,1),Teams,2,FALSE))</f>
        <v>Epsom &amp; Ewell</v>
      </c>
      <c r="F314" s="94" t="s">
        <v>223</v>
      </c>
      <c r="G314" s="95">
        <v>4</v>
      </c>
      <c r="H314" s="98"/>
      <c r="I314" s="35">
        <f>IF(OR(F314="",F314-VLOOKUP($A313,WAWstandards,12,FALSE)&lt;0),0,INT(VLOOKUP($A313,WAWstandards,11,FALSE)*(F314-VLOOKUP($A313,WAWstandards,12,FALSE))^VLOOKUP($A313,WAWstandards,13,FALSE)+0.5))</f>
        <v>580</v>
      </c>
      <c r="J314" s="32">
        <f>IF(F314="","",IF(F314-VLOOKUP($A313,WAWstandards,VLOOKUP(D314,Wage,2,FALSE),FALSE)&lt;0,"","aw"))</f>
      </c>
      <c r="K314" s="39">
        <f aca="true" t="shared" si="48" ref="K314:N317">IF($A314="","",IF(LEFT($A314,1)=K$8,$G314,""))</f>
        <v>4</v>
      </c>
      <c r="L314" s="39">
        <f t="shared" si="48"/>
      </c>
      <c r="M314" s="39">
        <f t="shared" si="48"/>
      </c>
      <c r="N314" s="39">
        <f t="shared" si="48"/>
      </c>
      <c r="O314" s="39"/>
      <c r="P314" s="35"/>
      <c r="R314" t="s">
        <v>811</v>
      </c>
    </row>
    <row r="315" spans="1:18" ht="12.75">
      <c r="A315" s="92" t="s">
        <v>322</v>
      </c>
      <c r="B315" s="109">
        <v>2</v>
      </c>
      <c r="C315" s="26" t="str">
        <f>IF(A315="","",VLOOKUP($A313,IF(LEN(A315)=2,WSB,WSA),VLOOKUP(LEFT(A315,1),Teams,6,FALSE),FALSE))</f>
        <v>Nicola Dobra</v>
      </c>
      <c r="D315" s="26" t="str">
        <f>IF(A315="","",VLOOKUP($A313,IF(LEN(A315)=2,WSB,WSA),VLOOKUP(LEFT(A315,1),Teams,7,FALSE),FALSE))</f>
        <v>U23</v>
      </c>
      <c r="E315" s="26" t="str">
        <f>IF(A315="","",VLOOKUP(LEFT(A315,1),Teams,2,FALSE))</f>
        <v>Tonbridge</v>
      </c>
      <c r="F315" s="94" t="s">
        <v>224</v>
      </c>
      <c r="G315" s="95">
        <v>3</v>
      </c>
      <c r="H315" s="98"/>
      <c r="I315" s="35">
        <f>IF(OR(F315="",F315-VLOOKUP($A313,WAWstandards,12,FALSE)&lt;0),0,INT(VLOOKUP($A313,WAWstandards,11,FALSE)*(F315-VLOOKUP($A313,WAWstandards,12,FALSE))^VLOOKUP($A313,WAWstandards,13,FALSE)+0.5))</f>
        <v>424</v>
      </c>
      <c r="J315" s="32">
        <f>IF(F315="","",IF(F315-VLOOKUP($A313,WAWstandards,VLOOKUP(D315,Wage,2,FALSE),FALSE)&lt;0,"","aw"))</f>
      </c>
      <c r="K315" s="39">
        <f t="shared" si="48"/>
      </c>
      <c r="L315" s="39">
        <f t="shared" si="48"/>
      </c>
      <c r="M315" s="39">
        <f t="shared" si="48"/>
      </c>
      <c r="N315" s="39">
        <f t="shared" si="48"/>
        <v>3</v>
      </c>
      <c r="O315" s="39"/>
      <c r="P315" s="35"/>
      <c r="R315" t="s">
        <v>811</v>
      </c>
    </row>
    <row r="316" spans="1:18" ht="12.75">
      <c r="A316" s="92" t="s">
        <v>321</v>
      </c>
      <c r="B316" s="109">
        <v>3</v>
      </c>
      <c r="C316" s="26" t="str">
        <f>IF(A316="","",VLOOKUP($A313,IF(LEN(A316)=2,WSB,WSA),VLOOKUP(LEFT(A316,1),Teams,6,FALSE),FALSE))</f>
        <v>Paige Clark</v>
      </c>
      <c r="D316" s="26" t="str">
        <f>IF(A316="","",VLOOKUP($A313,IF(LEN(A316)=2,WSB,WSA),VLOOKUP(LEFT(A316,1),Teams,7,FALSE),FALSE))</f>
        <v>U20</v>
      </c>
      <c r="E316" s="26" t="str">
        <f>IF(A316="","",VLOOKUP(LEFT(A316,1),Teams,2,FALSE))</f>
        <v>Crawley</v>
      </c>
      <c r="F316" s="94" t="s">
        <v>225</v>
      </c>
      <c r="G316" s="95">
        <v>2</v>
      </c>
      <c r="H316" s="98"/>
      <c r="I316" s="35">
        <f>IF(OR(F316="",F316-VLOOKUP($A313,WAWstandards,12,FALSE)&lt;0),0,INT(VLOOKUP($A313,WAWstandards,11,FALSE)*(F316-VLOOKUP($A313,WAWstandards,12,FALSE))^VLOOKUP($A313,WAWstandards,13,FALSE)+0.5))</f>
        <v>420</v>
      </c>
      <c r="J316" s="32">
        <f>IF(F316="","",IF(F316-VLOOKUP($A313,WAWstandards,VLOOKUP(D316,Wage,2,FALSE),FALSE)&lt;0,"","aw"))</f>
      </c>
      <c r="K316" s="39">
        <f t="shared" si="48"/>
      </c>
      <c r="L316" s="39">
        <f t="shared" si="48"/>
        <v>2</v>
      </c>
      <c r="M316" s="39">
        <f t="shared" si="48"/>
      </c>
      <c r="N316" s="39">
        <f t="shared" si="48"/>
      </c>
      <c r="O316" s="39"/>
      <c r="P316" s="35"/>
      <c r="R316" t="s">
        <v>811</v>
      </c>
    </row>
    <row r="317" spans="1:18" ht="12.75">
      <c r="A317" s="92"/>
      <c r="B317" s="109">
        <v>4</v>
      </c>
      <c r="C317" s="26">
        <f>IF(A317="","",VLOOKUP($A313,IF(LEN(A317)=2,WSB,WSA),VLOOKUP(LEFT(A317,1),Teams,6,FALSE),FALSE))</f>
      </c>
      <c r="D317" s="26">
        <f>IF(A317="","",VLOOKUP($A313,IF(LEN(A317)=2,WSB,WSA),VLOOKUP(LEFT(A317,1),Teams,7,FALSE),FALSE))</f>
      </c>
      <c r="E317" s="26">
        <f>IF(A317="","",VLOOKUP(LEFT(A317,1),Teams,2,FALSE))</f>
      </c>
      <c r="F317" s="94"/>
      <c r="G317" s="95">
        <v>1</v>
      </c>
      <c r="H317" s="98"/>
      <c r="I317" s="35">
        <f>IF(OR(F317="",F317-VLOOKUP($A313,WAWstandards,12,FALSE)&lt;0),0,INT(VLOOKUP($A313,WAWstandards,11,FALSE)*(F317-VLOOKUP($A313,WAWstandards,12,FALSE))^VLOOKUP($A313,WAWstandards,13,FALSE)+0.5))</f>
        <v>0</v>
      </c>
      <c r="J317" s="32">
        <f>IF(F317="","",IF(F317-VLOOKUP($A313,WAWstandards,VLOOKUP(D317,Wage,2,FALSE),FALSE)&lt;0,"","aw"))</f>
      </c>
      <c r="K317" s="39">
        <f t="shared" si="48"/>
      </c>
      <c r="L317" s="39">
        <f t="shared" si="48"/>
      </c>
      <c r="M317" s="39">
        <f t="shared" si="48"/>
      </c>
      <c r="N317" s="39">
        <f t="shared" si="48"/>
      </c>
      <c r="O317" s="39">
        <f>10-SUM(K314:N317)</f>
        <v>1</v>
      </c>
      <c r="P317" s="35"/>
      <c r="R317" t="s">
        <v>811</v>
      </c>
    </row>
    <row r="318" spans="1:16" ht="12.75">
      <c r="A318" s="106" t="s">
        <v>855</v>
      </c>
      <c r="B318" s="17"/>
      <c r="C318" s="27" t="s">
        <v>724</v>
      </c>
      <c r="D318" s="28"/>
      <c r="E318" s="29"/>
      <c r="F318" s="8"/>
      <c r="G318" s="42"/>
      <c r="H318" s="14"/>
      <c r="I318" s="35"/>
      <c r="J318" s="35"/>
      <c r="K318" s="39"/>
      <c r="L318" s="39"/>
      <c r="M318" s="39"/>
      <c r="N318" s="39"/>
      <c r="O318" s="39"/>
      <c r="P318" s="35" t="s">
        <v>929</v>
      </c>
    </row>
    <row r="319" spans="1:18" ht="12.75">
      <c r="A319" s="92" t="s">
        <v>315</v>
      </c>
      <c r="B319" s="109">
        <v>1</v>
      </c>
      <c r="C319" s="26" t="str">
        <f>IF(A319="","",VLOOKUP($A318,IF(LEN(A319)=2,WSB,WSA),VLOOKUP(LEFT(A319,1),Teams,6,FALSE),FALSE))</f>
        <v>Jo Rowland</v>
      </c>
      <c r="D319" s="26" t="str">
        <f>IF(A319="","",VLOOKUP($A318,IF(LEN(A319)=2,WSB,WSA),VLOOKUP(LEFT(A319,1),Teams,7,FALSE),FALSE))</f>
        <v>SW</v>
      </c>
      <c r="E319" s="26" t="str">
        <f>IF(A319="","",VLOOKUP(LEFT(A319,1),Teams,2,FALSE))</f>
        <v>Crawley</v>
      </c>
      <c r="F319" s="94" t="s">
        <v>117</v>
      </c>
      <c r="G319" s="95">
        <v>4</v>
      </c>
      <c r="H319" s="14"/>
      <c r="I319" s="35">
        <f>IF(OR(F319="",F319-VLOOKUP($A318,WAWstandards,12,FALSE)&lt;0),0,INT(VLOOKUP($A318,WAWstandards,11,FALSE)*(F319-VLOOKUP($A318,WAWstandards,12,FALSE))^VLOOKUP($A318,WAWstandards,13,FALSE)+0.5))</f>
        <v>859</v>
      </c>
      <c r="J319" s="32" t="str">
        <f>IF(F319="","",IF(F319-VLOOKUP($A318,WAWstandards,VLOOKUP(D319,Wage,2,FALSE),FALSE)&lt;0,"","aw"))</f>
        <v>aw</v>
      </c>
      <c r="K319" s="39">
        <f aca="true" t="shared" si="49" ref="K319:N322">IF($A319="","",IF(LEFT($A319,1)=K$8,$G319,""))</f>
      </c>
      <c r="L319" s="39">
        <f t="shared" si="49"/>
        <v>4</v>
      </c>
      <c r="M319" s="39">
        <f t="shared" si="49"/>
      </c>
      <c r="N319" s="39">
        <f t="shared" si="49"/>
      </c>
      <c r="O319" s="39"/>
      <c r="P319" s="35"/>
      <c r="R319" t="s">
        <v>810</v>
      </c>
    </row>
    <row r="320" spans="1:18" ht="12.75">
      <c r="A320" s="92" t="s">
        <v>312</v>
      </c>
      <c r="B320" s="109">
        <v>2</v>
      </c>
      <c r="C320" s="26" t="str">
        <f>IF(A320="","",VLOOKUP($A318,IF(LEN(A320)=2,WSB,WSA),VLOOKUP(LEFT(A320,1),Teams,6,FALSE),FALSE))</f>
        <v>Diana Norman</v>
      </c>
      <c r="D320" s="26" t="str">
        <f>IF(A320="","",VLOOKUP($A318,IF(LEN(A320)=2,WSB,WSA),VLOOKUP(LEFT(A320,1),Teams,7,FALSE),FALSE))</f>
        <v>W40</v>
      </c>
      <c r="E320" s="26" t="str">
        <f>IF(A320="","",VLOOKUP(LEFT(A320,1),Teams,2,FALSE))</f>
        <v>Epsom &amp; Ewell</v>
      </c>
      <c r="F320" s="94" t="s">
        <v>118</v>
      </c>
      <c r="G320" s="95">
        <v>3</v>
      </c>
      <c r="H320" s="14"/>
      <c r="I320" s="35">
        <f>IF(OR(F320="",F320-VLOOKUP($A318,WAWstandards,12,FALSE)&lt;0),0,INT(VLOOKUP($A318,WAWstandards,11,FALSE)*(F320-VLOOKUP($A318,WAWstandards,12,FALSE))^VLOOKUP($A318,WAWstandards,13,FALSE)+0.5))</f>
        <v>735</v>
      </c>
      <c r="J320" s="32" t="str">
        <f>IF(F320="","",IF(F320-VLOOKUP($A318,WAWstandards,VLOOKUP(D320,Wage,2,FALSE),FALSE)&lt;0,"","aw"))</f>
        <v>aw</v>
      </c>
      <c r="K320" s="39">
        <f t="shared" si="49"/>
        <v>3</v>
      </c>
      <c r="L320" s="39">
        <f t="shared" si="49"/>
      </c>
      <c r="M320" s="39">
        <f t="shared" si="49"/>
      </c>
      <c r="N320" s="39">
        <f t="shared" si="49"/>
      </c>
      <c r="O320" s="39"/>
      <c r="P320" s="35"/>
      <c r="R320" t="s">
        <v>810</v>
      </c>
    </row>
    <row r="321" spans="1:18" ht="12.75">
      <c r="A321" s="92" t="s">
        <v>327</v>
      </c>
      <c r="B321" s="109">
        <v>3</v>
      </c>
      <c r="C321" s="26" t="str">
        <f>IF(A321="","",VLOOKUP($A318,IF(LEN(A321)=2,WSB,WSA),VLOOKUP(LEFT(A321,1),Teams,6,FALSE),FALSE))</f>
        <v>Chelsey Eyers</v>
      </c>
      <c r="D321" s="26" t="str">
        <f>IF(A321="","",VLOOKUP($A318,IF(LEN(A321)=2,WSB,WSA),VLOOKUP(LEFT(A321,1),Teams,7,FALSE),FALSE))</f>
        <v>U20</v>
      </c>
      <c r="E321" s="26" t="str">
        <f>IF(A321="","",VLOOKUP(LEFT(A321,1),Teams,2,FALSE))</f>
        <v>Tonbridge</v>
      </c>
      <c r="F321" s="94" t="s">
        <v>119</v>
      </c>
      <c r="G321" s="95">
        <v>2</v>
      </c>
      <c r="H321" s="14"/>
      <c r="I321" s="35">
        <f>IF(OR(F321="",F321-VLOOKUP($A318,WAWstandards,12,FALSE)&lt;0),0,INT(VLOOKUP($A318,WAWstandards,11,FALSE)*(F321-VLOOKUP($A318,WAWstandards,12,FALSE))^VLOOKUP($A318,WAWstandards,13,FALSE)+0.5))</f>
        <v>635</v>
      </c>
      <c r="J321" s="32" t="str">
        <f>IF(F321="","",IF(F321-VLOOKUP($A318,WAWstandards,VLOOKUP(D321,Wage,2,FALSE),FALSE)&lt;0,"","aw"))</f>
        <v>aw</v>
      </c>
      <c r="K321" s="39">
        <f t="shared" si="49"/>
      </c>
      <c r="L321" s="39">
        <f t="shared" si="49"/>
      </c>
      <c r="M321" s="39">
        <f t="shared" si="49"/>
      </c>
      <c r="N321" s="39">
        <f t="shared" si="49"/>
        <v>2</v>
      </c>
      <c r="O321" s="39"/>
      <c r="P321" s="35"/>
      <c r="R321" t="s">
        <v>810</v>
      </c>
    </row>
    <row r="322" spans="1:18" ht="12.75">
      <c r="A322" s="92" t="s">
        <v>320</v>
      </c>
      <c r="B322" s="109">
        <v>4</v>
      </c>
      <c r="C322" s="26" t="str">
        <f>IF(A322="","",VLOOKUP($A318,IF(LEN(A322)=2,WSB,WSA),VLOOKUP(LEFT(A322,1),Teams,6,FALSE),FALSE))</f>
        <v>Bobbie-louise Gannon</v>
      </c>
      <c r="D322" s="26" t="str">
        <f>IF(A322="","",VLOOKUP($A318,IF(LEN(A322)=2,WSB,WSA),VLOOKUP(LEFT(A322,1),Teams,7,FALSE),FALSE))</f>
        <v>U17</v>
      </c>
      <c r="E322" s="26" t="str">
        <f>IF(A322="","",VLOOKUP(LEFT(A322,1),Teams,2,FALSE))</f>
        <v>Team Dorset</v>
      </c>
      <c r="F322" s="94" t="s">
        <v>120</v>
      </c>
      <c r="G322" s="95">
        <v>1</v>
      </c>
      <c r="H322" s="14"/>
      <c r="I322" s="35">
        <f>IF(OR(F322="",F322-VLOOKUP($A318,WAWstandards,12,FALSE)&lt;0),0,INT(VLOOKUP($A318,WAWstandards,11,FALSE)*(F322-VLOOKUP($A318,WAWstandards,12,FALSE))^VLOOKUP($A318,WAWstandards,13,FALSE)+0.5))</f>
        <v>555</v>
      </c>
      <c r="J322" s="32" t="str">
        <f>IF(F322="","",IF(F322-VLOOKUP($A318,WAWstandards,VLOOKUP(D322,Wage,2,FALSE),FALSE)&lt;0,"","aw"))</f>
        <v>aw</v>
      </c>
      <c r="K322" s="39">
        <f t="shared" si="49"/>
      </c>
      <c r="L322" s="39">
        <f t="shared" si="49"/>
      </c>
      <c r="M322" s="39">
        <f t="shared" si="49"/>
        <v>1</v>
      </c>
      <c r="N322" s="39">
        <f t="shared" si="49"/>
      </c>
      <c r="O322" s="39">
        <f>10-SUM(K319:N322)</f>
        <v>0</v>
      </c>
      <c r="P322" s="35"/>
      <c r="R322" t="s">
        <v>810</v>
      </c>
    </row>
    <row r="323" spans="1:16" ht="12.75">
      <c r="A323" s="106" t="s">
        <v>855</v>
      </c>
      <c r="B323" s="17"/>
      <c r="C323" s="27" t="s">
        <v>725</v>
      </c>
      <c r="D323" s="28"/>
      <c r="E323" s="29"/>
      <c r="F323" s="8"/>
      <c r="G323" s="42"/>
      <c r="H323" s="14"/>
      <c r="I323" s="35"/>
      <c r="J323" s="35"/>
      <c r="K323" s="39"/>
      <c r="L323" s="39"/>
      <c r="M323" s="39"/>
      <c r="N323" s="39"/>
      <c r="O323" s="39"/>
      <c r="P323" s="35" t="s">
        <v>930</v>
      </c>
    </row>
    <row r="324" spans="1:18" ht="12.75">
      <c r="A324" s="92" t="s">
        <v>321</v>
      </c>
      <c r="B324" s="109">
        <v>1</v>
      </c>
      <c r="C324" s="26" t="str">
        <f>IF(A324="","",VLOOKUP($A323,IF(LEN(A324)=2,WSB,WSA),VLOOKUP(LEFT(A324,1),Teams,6,FALSE),FALSE))</f>
        <v>Rebecca Baines</v>
      </c>
      <c r="D324" s="26" t="str">
        <f>IF(A324="","",VLOOKUP($A323,IF(LEN(A324)=2,WSB,WSA),VLOOKUP(LEFT(A324,1),Teams,7,FALSE),FALSE))</f>
        <v>SW</v>
      </c>
      <c r="E324" s="26" t="str">
        <f>IF(A324="","",VLOOKUP(LEFT(A324,1),Teams,2,FALSE))</f>
        <v>Crawley</v>
      </c>
      <c r="F324" s="94" t="s">
        <v>121</v>
      </c>
      <c r="G324" s="95">
        <v>4</v>
      </c>
      <c r="H324" s="14"/>
      <c r="I324" s="35">
        <f>IF(OR(F324="",F324-VLOOKUP($A323,WAWstandards,12,FALSE)&lt;0),0,INT(VLOOKUP($A323,WAWstandards,11,FALSE)*(F324-VLOOKUP($A323,WAWstandards,12,FALSE))^VLOOKUP($A323,WAWstandards,13,FALSE)+0.5))</f>
        <v>725</v>
      </c>
      <c r="J324" s="32" t="str">
        <f>IF(F324="","",IF(F324-VLOOKUP($A323,WAWstandards,VLOOKUP(D324,Wage,2,FALSE),FALSE)&lt;0,"","aw"))</f>
        <v>aw</v>
      </c>
      <c r="K324" s="39">
        <f aca="true" t="shared" si="50" ref="K324:N327">IF($A324="","",IF(LEFT($A324,1)=K$8,$G324,""))</f>
      </c>
      <c r="L324" s="39">
        <f t="shared" si="50"/>
        <v>4</v>
      </c>
      <c r="M324" s="39">
        <f t="shared" si="50"/>
      </c>
      <c r="N324" s="39">
        <f t="shared" si="50"/>
      </c>
      <c r="O324" s="39"/>
      <c r="P324" s="35"/>
      <c r="R324" t="s">
        <v>810</v>
      </c>
    </row>
    <row r="325" spans="1:18" ht="12.75">
      <c r="A325" s="92" t="s">
        <v>313</v>
      </c>
      <c r="B325" s="109">
        <v>2</v>
      </c>
      <c r="C325" s="26" t="str">
        <f>IF(A325="","",VLOOKUP($A323,IF(LEN(A325)=2,WSB,WSA),VLOOKUP(LEFT(A325,1),Teams,6,FALSE),FALSE))</f>
        <v>Jordyn Robinson</v>
      </c>
      <c r="D325" s="26" t="str">
        <f>IF(A325="","",VLOOKUP($A323,IF(LEN(A325)=2,WSB,WSA),VLOOKUP(LEFT(A325,1),Teams,7,FALSE),FALSE))</f>
        <v>U20</v>
      </c>
      <c r="E325" s="26" t="str">
        <f>IF(A325="","",VLOOKUP(LEFT(A325,1),Teams,2,FALSE))</f>
        <v>Epsom &amp; Ewell</v>
      </c>
      <c r="F325" s="94" t="s">
        <v>122</v>
      </c>
      <c r="G325" s="95">
        <v>3</v>
      </c>
      <c r="H325" s="14"/>
      <c r="I325" s="35">
        <f>IF(OR(F325="",F325-VLOOKUP($A323,WAWstandards,12,FALSE)&lt;0),0,INT(VLOOKUP($A323,WAWstandards,11,FALSE)*(F325-VLOOKUP($A323,WAWstandards,12,FALSE))^VLOOKUP($A323,WAWstandards,13,FALSE)+0.5))</f>
        <v>661</v>
      </c>
      <c r="J325" s="32" t="str">
        <f>IF(F325="","",IF(F325-VLOOKUP($A323,WAWstandards,VLOOKUP(D325,Wage,2,FALSE),FALSE)&lt;0,"","aw"))</f>
        <v>aw</v>
      </c>
      <c r="K325" s="39">
        <f t="shared" si="50"/>
        <v>3</v>
      </c>
      <c r="L325" s="39">
        <f t="shared" si="50"/>
      </c>
      <c r="M325" s="39">
        <f t="shared" si="50"/>
      </c>
      <c r="N325" s="39">
        <f t="shared" si="50"/>
      </c>
      <c r="O325" s="39"/>
      <c r="P325" s="35"/>
      <c r="R325" t="s">
        <v>810</v>
      </c>
    </row>
    <row r="326" spans="1:18" ht="12.75">
      <c r="A326" s="92" t="s">
        <v>328</v>
      </c>
      <c r="B326" s="109">
        <v>3</v>
      </c>
      <c r="C326" s="26" t="str">
        <f>IF(A326="","",VLOOKUP($A323,IF(LEN(A326)=2,WSB,WSA),VLOOKUP(LEFT(A326,1),Teams,6,FALSE),FALSE))</f>
        <v>Jess May</v>
      </c>
      <c r="D326" s="26" t="str">
        <f>IF(A326="","",VLOOKUP($A323,IF(LEN(A326)=2,WSB,WSA),VLOOKUP(LEFT(A326,1),Teams,7,FALSE),FALSE))</f>
        <v>U17</v>
      </c>
      <c r="E326" s="26" t="str">
        <f>IF(A326="","",VLOOKUP(LEFT(A326,1),Teams,2,FALSE))</f>
        <v>Team Dorset</v>
      </c>
      <c r="F326" s="94" t="s">
        <v>123</v>
      </c>
      <c r="G326" s="95">
        <v>2</v>
      </c>
      <c r="H326" s="14"/>
      <c r="I326" s="35">
        <f>IF(OR(F326="",F326-VLOOKUP($A323,WAWstandards,12,FALSE)&lt;0),0,INT(VLOOKUP($A323,WAWstandards,11,FALSE)*(F326-VLOOKUP($A323,WAWstandards,12,FALSE))^VLOOKUP($A323,WAWstandards,13,FALSE)+0.5))</f>
        <v>433</v>
      </c>
      <c r="J326" s="32">
        <f>IF(F326="","",IF(F326-VLOOKUP($A323,WAWstandards,VLOOKUP(D326,Wage,2,FALSE),FALSE)&lt;0,"","aw"))</f>
      </c>
      <c r="K326" s="39">
        <f t="shared" si="50"/>
      </c>
      <c r="L326" s="39">
        <f t="shared" si="50"/>
      </c>
      <c r="M326" s="39">
        <f t="shared" si="50"/>
        <v>2</v>
      </c>
      <c r="N326" s="39">
        <f t="shared" si="50"/>
      </c>
      <c r="O326" s="39"/>
      <c r="P326" s="35"/>
      <c r="R326" t="s">
        <v>810</v>
      </c>
    </row>
    <row r="327" spans="1:18" ht="12.75">
      <c r="A327" s="92" t="s">
        <v>322</v>
      </c>
      <c r="B327" s="109">
        <v>4</v>
      </c>
      <c r="C327" s="26" t="str">
        <f>IF(A327="","",VLOOKUP($A323,IF(LEN(A327)=2,WSB,WSA),VLOOKUP(LEFT(A327,1),Teams,6,FALSE),FALSE))</f>
        <v>Nicola Dobra</v>
      </c>
      <c r="D327" s="26" t="str">
        <f>IF(A327="","",VLOOKUP($A323,IF(LEN(A327)=2,WSB,WSA),VLOOKUP(LEFT(A327,1),Teams,7,FALSE),FALSE))</f>
        <v>U23</v>
      </c>
      <c r="E327" s="26" t="str">
        <f>IF(A327="","",VLOOKUP(LEFT(A327,1),Teams,2,FALSE))</f>
        <v>Tonbridge</v>
      </c>
      <c r="F327" s="94" t="s">
        <v>124</v>
      </c>
      <c r="G327" s="95">
        <v>1</v>
      </c>
      <c r="H327" s="14"/>
      <c r="I327" s="35">
        <f>IF(OR(F327="",F327-VLOOKUP($A323,WAWstandards,12,FALSE)&lt;0),0,INT(VLOOKUP($A323,WAWstandards,11,FALSE)*(F327-VLOOKUP($A323,WAWstandards,12,FALSE))^VLOOKUP($A323,WAWstandards,13,FALSE)+0.5))</f>
        <v>409</v>
      </c>
      <c r="J327" s="32">
        <f>IF(F327="","",IF(F327-VLOOKUP($A323,WAWstandards,VLOOKUP(D327,Wage,2,FALSE),FALSE)&lt;0,"","aw"))</f>
      </c>
      <c r="K327" s="39">
        <f t="shared" si="50"/>
      </c>
      <c r="L327" s="39">
        <f t="shared" si="50"/>
      </c>
      <c r="M327" s="39">
        <f t="shared" si="50"/>
      </c>
      <c r="N327" s="39">
        <f t="shared" si="50"/>
        <v>1</v>
      </c>
      <c r="O327" s="39">
        <f>10-SUM(K324:N327)</f>
        <v>0</v>
      </c>
      <c r="P327" s="35"/>
      <c r="R327" t="s">
        <v>810</v>
      </c>
    </row>
    <row r="328" spans="1:16" ht="12.75">
      <c r="A328" s="106" t="s">
        <v>853</v>
      </c>
      <c r="B328" s="17"/>
      <c r="C328" s="27" t="s">
        <v>726</v>
      </c>
      <c r="D328" s="28"/>
      <c r="E328" s="29"/>
      <c r="F328" s="8"/>
      <c r="G328" s="42"/>
      <c r="H328" s="14"/>
      <c r="I328" s="35"/>
      <c r="J328" s="35"/>
      <c r="K328" s="39"/>
      <c r="L328" s="39"/>
      <c r="M328" s="39"/>
      <c r="N328" s="39"/>
      <c r="O328" s="39"/>
      <c r="P328" s="35" t="s">
        <v>931</v>
      </c>
    </row>
    <row r="329" spans="1:18" ht="12.75">
      <c r="A329" s="92" t="s">
        <v>327</v>
      </c>
      <c r="B329" s="109">
        <v>1</v>
      </c>
      <c r="C329" s="26" t="str">
        <f>IF(A329="","",VLOOKUP($A328,IF(LEN(A329)=2,WSB,WSA),VLOOKUP(LEFT(A329,1),Teams,6,FALSE),FALSE))</f>
        <v>Chelsey Eyers</v>
      </c>
      <c r="D329" s="26" t="str">
        <f>IF(A329="","",VLOOKUP($A328,IF(LEN(A329)=2,WSB,WSA),VLOOKUP(LEFT(A329,1),Teams,7,FALSE),FALSE))</f>
        <v>U20</v>
      </c>
      <c r="E329" s="26" t="str">
        <f>IF(A329="","",VLOOKUP(LEFT(A329,1),Teams,2,FALSE))</f>
        <v>Tonbridge</v>
      </c>
      <c r="F329" s="94" t="s">
        <v>1</v>
      </c>
      <c r="G329" s="95">
        <v>4</v>
      </c>
      <c r="H329" s="14"/>
      <c r="I329" s="35">
        <f>IF(OR(F329="",F329-VLOOKUP($A328,WAWstandards,12,FALSE)&lt;0),0,INT(VLOOKUP($A328,WAWstandards,11,FALSE)*(F329-VLOOKUP($A328,WAWstandards,12,FALSE))^VLOOKUP($A328,WAWstandards,13,FALSE)+0.5))</f>
        <v>812</v>
      </c>
      <c r="J329" s="32" t="str">
        <f>IF(F329="","",IF(F329-VLOOKUP($A328,WAWstandards,VLOOKUP(D329,Wage,2,FALSE),FALSE)&lt;0,"","aw"))</f>
        <v>aw</v>
      </c>
      <c r="K329" s="39">
        <f aca="true" t="shared" si="51" ref="K329:N332">IF($A329="","",IF(LEFT($A329,1)=K$8,$G329,""))</f>
      </c>
      <c r="L329" s="39">
        <f t="shared" si="51"/>
      </c>
      <c r="M329" s="39">
        <f t="shared" si="51"/>
      </c>
      <c r="N329" s="39">
        <f t="shared" si="51"/>
        <v>4</v>
      </c>
      <c r="O329" s="39"/>
      <c r="P329" s="35"/>
      <c r="R329" t="s">
        <v>804</v>
      </c>
    </row>
    <row r="330" spans="1:18" ht="12.75">
      <c r="A330" s="92" t="s">
        <v>321</v>
      </c>
      <c r="B330" s="109">
        <v>2</v>
      </c>
      <c r="C330" s="26" t="str">
        <f>IF(A330="","",VLOOKUP($A328,IF(LEN(A330)=2,WSB,WSA),VLOOKUP(LEFT(A330,1),Teams,6,FALSE),FALSE))</f>
        <v>Jo Rowland</v>
      </c>
      <c r="D330" s="26" t="str">
        <f>IF(A330="","",VLOOKUP($A328,IF(LEN(A330)=2,WSB,WSA),VLOOKUP(LEFT(A330,1),Teams,7,FALSE),FALSE))</f>
        <v>SW</v>
      </c>
      <c r="E330" s="26" t="str">
        <f>IF(A330="","",VLOOKUP(LEFT(A330,1),Teams,2,FALSE))</f>
        <v>Crawley</v>
      </c>
      <c r="F330" s="94" t="s">
        <v>2</v>
      </c>
      <c r="G330" s="95">
        <v>3</v>
      </c>
      <c r="H330" s="14"/>
      <c r="I330" s="35">
        <f>IF(OR(F330="",F330-VLOOKUP($A328,WAWstandards,12,FALSE)&lt;0),0,INT(VLOOKUP($A328,WAWstandards,11,FALSE)*(F330-VLOOKUP($A328,WAWstandards,12,FALSE))^VLOOKUP($A328,WAWstandards,13,FALSE)+0.5))</f>
        <v>747</v>
      </c>
      <c r="J330" s="32" t="str">
        <f>IF(F330="","",IF(F330-VLOOKUP($A328,WAWstandards,VLOOKUP(D330,Wage,2,FALSE),FALSE)&lt;0,"","aw"))</f>
        <v>aw</v>
      </c>
      <c r="K330" s="39">
        <f t="shared" si="51"/>
      </c>
      <c r="L330" s="39">
        <f t="shared" si="51"/>
        <v>3</v>
      </c>
      <c r="M330" s="39">
        <f t="shared" si="51"/>
      </c>
      <c r="N330" s="39">
        <f t="shared" si="51"/>
      </c>
      <c r="O330" s="39"/>
      <c r="P330" s="35"/>
      <c r="R330" t="s">
        <v>804</v>
      </c>
    </row>
    <row r="331" spans="1:18" ht="12.75">
      <c r="A331" s="92" t="s">
        <v>312</v>
      </c>
      <c r="B331" s="109">
        <v>3</v>
      </c>
      <c r="C331" s="26" t="str">
        <f>IF(A331="","",VLOOKUP($A328,IF(LEN(A331)=2,WSB,WSA),VLOOKUP(LEFT(A331,1),Teams,6,FALSE),FALSE))</f>
        <v>Wendy Dunsford</v>
      </c>
      <c r="D331" s="26" t="str">
        <f>IF(A331="","",VLOOKUP($A328,IF(LEN(A331)=2,WSB,WSA),VLOOKUP(LEFT(A331,1),Teams,7,FALSE),FALSE))</f>
        <v>W50</v>
      </c>
      <c r="E331" s="26" t="str">
        <f>IF(A331="","",VLOOKUP(LEFT(A331,1),Teams,2,FALSE))</f>
        <v>Epsom &amp; Ewell</v>
      </c>
      <c r="F331" s="94" t="s">
        <v>3</v>
      </c>
      <c r="G331" s="95">
        <v>2</v>
      </c>
      <c r="H331" s="14"/>
      <c r="I331" s="35">
        <f>IF(OR(F331="",F331-VLOOKUP($A328,WAWstandards,12,FALSE)&lt;0),0,INT(VLOOKUP($A328,WAWstandards,11,FALSE)*(F331-VLOOKUP($A328,WAWstandards,12,FALSE))^VLOOKUP($A328,WAWstandards,13,FALSE)+0.5))</f>
        <v>553</v>
      </c>
      <c r="J331" s="32" t="str">
        <f>IF(F331="","",IF(F331-VLOOKUP($A328,WAWstandards,VLOOKUP(D331,Wage,2,FALSE),FALSE)&lt;0,"","aw"))</f>
        <v>aw</v>
      </c>
      <c r="K331" s="39">
        <f t="shared" si="51"/>
        <v>2</v>
      </c>
      <c r="L331" s="39">
        <f t="shared" si="51"/>
      </c>
      <c r="M331" s="39">
        <f t="shared" si="51"/>
      </c>
      <c r="N331" s="39">
        <f t="shared" si="51"/>
      </c>
      <c r="O331" s="39"/>
      <c r="P331" s="35"/>
      <c r="R331" t="s">
        <v>804</v>
      </c>
    </row>
    <row r="332" spans="1:18" ht="12.75">
      <c r="A332" s="92" t="s">
        <v>320</v>
      </c>
      <c r="B332" s="109">
        <v>4</v>
      </c>
      <c r="C332" s="26" t="str">
        <f>IF(A332="","",VLOOKUP($A328,IF(LEN(A332)=2,WSB,WSA),VLOOKUP(LEFT(A332,1),Teams,6,FALSE),FALSE))</f>
        <v>Jess May</v>
      </c>
      <c r="D332" s="26" t="str">
        <f>IF(A332="","",VLOOKUP($A328,IF(LEN(A332)=2,WSB,WSA),VLOOKUP(LEFT(A332,1),Teams,7,FALSE),FALSE))</f>
        <v>U17</v>
      </c>
      <c r="E332" s="26" t="str">
        <f>IF(A332="","",VLOOKUP(LEFT(A332,1),Teams,2,FALSE))</f>
        <v>Team Dorset</v>
      </c>
      <c r="F332" s="94" t="s">
        <v>4</v>
      </c>
      <c r="G332" s="95">
        <v>1</v>
      </c>
      <c r="H332" s="14"/>
      <c r="I332" s="35">
        <f>IF(OR(F332="",F332-VLOOKUP($A328,WAWstandards,12,FALSE)&lt;0),0,INT(VLOOKUP($A328,WAWstandards,11,FALSE)*(F332-VLOOKUP($A328,WAWstandards,12,FALSE))^VLOOKUP($A328,WAWstandards,13,FALSE)+0.5))</f>
        <v>434</v>
      </c>
      <c r="J332" s="32">
        <f>IF(F332="","",IF(F332-VLOOKUP($A328,WAWstandards,VLOOKUP(D332,Wage,2,FALSE),FALSE)&lt;0,"","aw"))</f>
      </c>
      <c r="K332" s="39">
        <f t="shared" si="51"/>
      </c>
      <c r="L332" s="39">
        <f t="shared" si="51"/>
      </c>
      <c r="M332" s="39">
        <f t="shared" si="51"/>
        <v>1</v>
      </c>
      <c r="N332" s="39">
        <f t="shared" si="51"/>
      </c>
      <c r="O332" s="39">
        <f>10-SUM(K329:N332)</f>
        <v>0</v>
      </c>
      <c r="P332" s="35"/>
      <c r="R332" t="s">
        <v>804</v>
      </c>
    </row>
    <row r="333" spans="1:16" ht="12.75">
      <c r="A333" s="106" t="s">
        <v>853</v>
      </c>
      <c r="B333" s="17"/>
      <c r="C333" s="27" t="s">
        <v>727</v>
      </c>
      <c r="D333" s="28"/>
      <c r="E333" s="29"/>
      <c r="F333" s="8"/>
      <c r="G333" s="42"/>
      <c r="H333" s="14"/>
      <c r="I333" s="35"/>
      <c r="J333" s="35"/>
      <c r="K333" s="39"/>
      <c r="L333" s="39"/>
      <c r="M333" s="39"/>
      <c r="N333" s="39"/>
      <c r="O333" s="39"/>
      <c r="P333" s="35" t="s">
        <v>932</v>
      </c>
    </row>
    <row r="334" spans="1:18" ht="12.75">
      <c r="A334" s="92" t="s">
        <v>315</v>
      </c>
      <c r="B334" s="109">
        <v>1</v>
      </c>
      <c r="C334" s="26" t="str">
        <f>IF(A334="","",VLOOKUP($A333,IF(LEN(A334)=2,WSB,WSA),VLOOKUP(LEFT(A334,1),Teams,6,FALSE),FALSE))</f>
        <v>Rebecca Baines</v>
      </c>
      <c r="D334" s="26" t="str">
        <f>IF(A334="","",VLOOKUP($A333,IF(LEN(A334)=2,WSB,WSA),VLOOKUP(LEFT(A334,1),Teams,7,FALSE),FALSE))</f>
        <v>U23</v>
      </c>
      <c r="E334" s="26" t="str">
        <f>IF(A334="","",VLOOKUP(LEFT(A334,1),Teams,2,FALSE))</f>
        <v>Crawley</v>
      </c>
      <c r="F334" s="94" t="s">
        <v>5</v>
      </c>
      <c r="G334" s="95">
        <v>4</v>
      </c>
      <c r="H334" s="14"/>
      <c r="I334" s="35">
        <f>IF(OR(F334="",F334-VLOOKUP($A333,WAWstandards,12,FALSE)&lt;0),0,INT(VLOOKUP($A333,WAWstandards,11,FALSE)*(F334-VLOOKUP($A333,WAWstandards,12,FALSE))^VLOOKUP($A333,WAWstandards,13,FALSE)+0.5))</f>
        <v>698</v>
      </c>
      <c r="J334" s="32" t="str">
        <f>IF(F334="","",IF(F334-VLOOKUP($A333,WAWstandards,VLOOKUP(D334,Wage,2,FALSE),FALSE)&lt;0,"","aw"))</f>
        <v>aw</v>
      </c>
      <c r="K334" s="39">
        <f aca="true" t="shared" si="52" ref="K334:N337">IF($A334="","",IF(LEFT($A334,1)=K$8,$G334,""))</f>
      </c>
      <c r="L334" s="39">
        <f t="shared" si="52"/>
        <v>4</v>
      </c>
      <c r="M334" s="39">
        <f t="shared" si="52"/>
      </c>
      <c r="N334" s="39">
        <f t="shared" si="52"/>
      </c>
      <c r="O334" s="39"/>
      <c r="P334" s="35"/>
      <c r="R334" t="s">
        <v>804</v>
      </c>
    </row>
    <row r="335" spans="1:18" ht="12.75">
      <c r="A335" s="92" t="s">
        <v>313</v>
      </c>
      <c r="B335" s="109">
        <v>2</v>
      </c>
      <c r="C335" s="26" t="str">
        <f>IF(A335="","",VLOOKUP($A333,IF(LEN(A335)=2,WSB,WSA),VLOOKUP(LEFT(A335,1),Teams,6,FALSE),FALSE))</f>
        <v>Jordyn Robinson</v>
      </c>
      <c r="D335" s="26" t="str">
        <f>IF(A335="","",VLOOKUP($A333,IF(LEN(A335)=2,WSB,WSA),VLOOKUP(LEFT(A335,1),Teams,7,FALSE),FALSE))</f>
        <v>U20</v>
      </c>
      <c r="E335" s="26" t="str">
        <f>IF(A335="","",VLOOKUP(LEFT(A335,1),Teams,2,FALSE))</f>
        <v>Epsom &amp; Ewell</v>
      </c>
      <c r="F335" s="94" t="s">
        <v>6</v>
      </c>
      <c r="G335" s="95">
        <v>3</v>
      </c>
      <c r="H335" s="14"/>
      <c r="I335" s="35">
        <f>IF(OR(F335="",F335-VLOOKUP($A333,WAWstandards,12,FALSE)&lt;0),0,INT(VLOOKUP($A333,WAWstandards,11,FALSE)*(F335-VLOOKUP($A333,WAWstandards,12,FALSE))^VLOOKUP($A333,WAWstandards,13,FALSE)+0.5))</f>
        <v>549</v>
      </c>
      <c r="J335" s="32">
        <f>IF(F335="","",IF(F335-VLOOKUP($A333,WAWstandards,VLOOKUP(D335,Wage,2,FALSE),FALSE)&lt;0,"","aw"))</f>
      </c>
      <c r="K335" s="39">
        <f t="shared" si="52"/>
        <v>3</v>
      </c>
      <c r="L335" s="39">
        <f t="shared" si="52"/>
      </c>
      <c r="M335" s="39">
        <f t="shared" si="52"/>
      </c>
      <c r="N335" s="39">
        <f t="shared" si="52"/>
      </c>
      <c r="O335" s="39"/>
      <c r="P335" s="35"/>
      <c r="R335" t="s">
        <v>804</v>
      </c>
    </row>
    <row r="336" spans="1:18" ht="12.75">
      <c r="A336" s="92" t="s">
        <v>322</v>
      </c>
      <c r="B336" s="109">
        <v>3</v>
      </c>
      <c r="C336" s="26" t="str">
        <f>IF(A336="","",VLOOKUP($A333,IF(LEN(A336)=2,WSB,WSA),VLOOKUP(LEFT(A336,1),Teams,6,FALSE),FALSE))</f>
        <v>Nicola Dobra</v>
      </c>
      <c r="D336" s="26" t="str">
        <f>IF(A336="","",VLOOKUP($A333,IF(LEN(A336)=2,WSB,WSA),VLOOKUP(LEFT(A336,1),Teams,7,FALSE),FALSE))</f>
        <v>U23</v>
      </c>
      <c r="E336" s="26" t="str">
        <f>IF(A336="","",VLOOKUP(LEFT(A336,1),Teams,2,FALSE))</f>
        <v>Tonbridge</v>
      </c>
      <c r="F336" s="94" t="s">
        <v>7</v>
      </c>
      <c r="G336" s="95">
        <v>2</v>
      </c>
      <c r="H336" s="14"/>
      <c r="I336" s="35">
        <f>IF(OR(F336="",F336-VLOOKUP($A333,WAWstandards,12,FALSE)&lt;0),0,INT(VLOOKUP($A333,WAWstandards,11,FALSE)*(F336-VLOOKUP($A333,WAWstandards,12,FALSE))^VLOOKUP($A333,WAWstandards,13,FALSE)+0.5))</f>
        <v>374</v>
      </c>
      <c r="J336" s="32">
        <f>IF(F336="","",IF(F336-VLOOKUP($A333,WAWstandards,VLOOKUP(D336,Wage,2,FALSE),FALSE)&lt;0,"","aw"))</f>
      </c>
      <c r="K336" s="39">
        <f t="shared" si="52"/>
      </c>
      <c r="L336" s="39">
        <f t="shared" si="52"/>
      </c>
      <c r="M336" s="39">
        <f t="shared" si="52"/>
      </c>
      <c r="N336" s="39">
        <f t="shared" si="52"/>
        <v>2</v>
      </c>
      <c r="O336" s="39"/>
      <c r="P336" s="35"/>
      <c r="R336" t="s">
        <v>804</v>
      </c>
    </row>
    <row r="337" spans="1:18" ht="12.75">
      <c r="A337" s="92" t="s">
        <v>328</v>
      </c>
      <c r="B337" s="109">
        <v>4</v>
      </c>
      <c r="C337" s="26" t="str">
        <f>IF(A337="","",VLOOKUP($A333,IF(LEN(A337)=2,WSB,WSA),VLOOKUP(LEFT(A337,1),Teams,6,FALSE),FALSE))</f>
        <v>Aiste Razmaite</v>
      </c>
      <c r="D337" s="26" t="str">
        <f>IF(A337="","",VLOOKUP($A333,IF(LEN(A337)=2,WSB,WSA),VLOOKUP(LEFT(A337,1),Teams,7,FALSE),FALSE))</f>
        <v>U17</v>
      </c>
      <c r="E337" s="26" t="str">
        <f>IF(A337="","",VLOOKUP(LEFT(A337,1),Teams,2,FALSE))</f>
        <v>Team Dorset</v>
      </c>
      <c r="F337" s="94" t="s">
        <v>8</v>
      </c>
      <c r="G337" s="95">
        <v>1</v>
      </c>
      <c r="H337" s="14"/>
      <c r="I337" s="35">
        <f>IF(OR(F337="",F337-VLOOKUP($A333,WAWstandards,12,FALSE)&lt;0),0,INT(VLOOKUP($A333,WAWstandards,11,FALSE)*(F337-VLOOKUP($A333,WAWstandards,12,FALSE))^VLOOKUP($A333,WAWstandards,13,FALSE)+0.5))</f>
        <v>281</v>
      </c>
      <c r="J337" s="32">
        <f>IF(F337="","",IF(F337-VLOOKUP($A333,WAWstandards,VLOOKUP(D337,Wage,2,FALSE),FALSE)&lt;0,"","aw"))</f>
      </c>
      <c r="K337" s="39">
        <f t="shared" si="52"/>
      </c>
      <c r="L337" s="39">
        <f t="shared" si="52"/>
      </c>
      <c r="M337" s="39">
        <f t="shared" si="52"/>
        <v>1</v>
      </c>
      <c r="N337" s="39">
        <f t="shared" si="52"/>
      </c>
      <c r="O337" s="39">
        <f>10-SUM(K334:N337)</f>
        <v>0</v>
      </c>
      <c r="P337" s="35"/>
      <c r="R337" t="s">
        <v>804</v>
      </c>
    </row>
    <row r="338" spans="1:16" ht="12.75">
      <c r="A338" s="106" t="s">
        <v>852</v>
      </c>
      <c r="B338" s="45"/>
      <c r="C338" s="30" t="s">
        <v>728</v>
      </c>
      <c r="D338" s="31"/>
      <c r="E338" s="32"/>
      <c r="F338" s="11"/>
      <c r="G338" s="44"/>
      <c r="H338" s="14"/>
      <c r="I338" s="35"/>
      <c r="J338" s="35"/>
      <c r="K338" s="39"/>
      <c r="L338" s="39"/>
      <c r="M338" s="39"/>
      <c r="N338" s="39"/>
      <c r="O338" s="39"/>
      <c r="P338" s="35" t="s">
        <v>933</v>
      </c>
    </row>
    <row r="339" spans="1:18" ht="12.75">
      <c r="A339" s="92" t="s">
        <v>315</v>
      </c>
      <c r="B339" s="109">
        <v>1</v>
      </c>
      <c r="C339" s="26" t="str">
        <f>IF(A339="","",VLOOKUP($A338,IF(LEN(A339)=2,WSB,WSA),VLOOKUP(LEFT(A339,1),Teams,6,FALSE),FALSE))</f>
        <v>Rebecca Baines</v>
      </c>
      <c r="D339" s="26" t="str">
        <f>IF(A339="","",VLOOKUP($A338,IF(LEN(A339)=2,WSB,WSA),VLOOKUP(LEFT(A339,1),Teams,7,FALSE),FALSE))</f>
        <v>U23</v>
      </c>
      <c r="E339" s="26" t="str">
        <f>IF(A339="","",VLOOKUP(LEFT(A339,1),Teams,2,FALSE))</f>
        <v>Crawley</v>
      </c>
      <c r="F339" s="94" t="s">
        <v>86</v>
      </c>
      <c r="G339" s="95">
        <v>4</v>
      </c>
      <c r="H339" s="14"/>
      <c r="I339" s="35">
        <f>IF(OR(F339="",F339-VLOOKUP($A338,WAWstandards,12,FALSE)&lt;0),0,INT(VLOOKUP($A338,WAWstandards,11,FALSE)*(F339-VLOOKUP($A338,WAWstandards,12,FALSE))^VLOOKUP($A338,WAWstandards,13,FALSE)+0.5))</f>
        <v>782</v>
      </c>
      <c r="J339" s="32" t="str">
        <f>IF(F339="","",IF(F339-VLOOKUP($A338,WAWstandards,VLOOKUP(D339,Wage,2,FALSE),FALSE)&lt;0,"","aw"))</f>
        <v>aw</v>
      </c>
      <c r="K339" s="39">
        <f aca="true" t="shared" si="53" ref="K339:N342">IF($A339="","",IF(LEFT($A339,1)=K$8,$G339,""))</f>
      </c>
      <c r="L339" s="39">
        <f t="shared" si="53"/>
        <v>4</v>
      </c>
      <c r="M339" s="39">
        <f t="shared" si="53"/>
      </c>
      <c r="N339" s="39">
        <f t="shared" si="53"/>
      </c>
      <c r="O339" s="39"/>
      <c r="P339" s="35"/>
      <c r="R339" t="s">
        <v>805</v>
      </c>
    </row>
    <row r="340" spans="1:18" ht="12.75">
      <c r="A340" s="92" t="s">
        <v>328</v>
      </c>
      <c r="B340" s="109">
        <v>2</v>
      </c>
      <c r="C340" s="26" t="str">
        <f>IF(A340="","",VLOOKUP($A338,IF(LEN(A340)=2,WSB,WSA),VLOOKUP(LEFT(A340,1),Teams,6,FALSE),FALSE))</f>
        <v>Emma Jones</v>
      </c>
      <c r="D340" s="26" t="str">
        <f>IF(A340="","",VLOOKUP($A338,IF(LEN(A340)=2,WSB,WSA),VLOOKUP(LEFT(A340,1),Teams,7,FALSE),FALSE))</f>
        <v>W40</v>
      </c>
      <c r="E340" s="26" t="str">
        <f>IF(A340="","",VLOOKUP(LEFT(A340,1),Teams,2,FALSE))</f>
        <v>Team Dorset</v>
      </c>
      <c r="F340" s="94" t="s">
        <v>87</v>
      </c>
      <c r="G340" s="95">
        <v>3</v>
      </c>
      <c r="H340" s="14"/>
      <c r="I340" s="35">
        <f>IF(OR(F340="",F340-VLOOKUP($A338,WAWstandards,12,FALSE)&lt;0),0,INT(VLOOKUP($A338,WAWstandards,11,FALSE)*(F340-VLOOKUP($A338,WAWstandards,12,FALSE))^VLOOKUP($A338,WAWstandards,13,FALSE)+0.5))</f>
        <v>678</v>
      </c>
      <c r="J340" s="32" t="str">
        <f>IF(F340="","",IF(F340-VLOOKUP($A338,WAWstandards,VLOOKUP(D340,Wage,2,FALSE),FALSE)&lt;0,"","aw"))</f>
        <v>aw</v>
      </c>
      <c r="K340" s="39">
        <f t="shared" si="53"/>
      </c>
      <c r="L340" s="39">
        <f t="shared" si="53"/>
      </c>
      <c r="M340" s="39">
        <f t="shared" si="53"/>
        <v>3</v>
      </c>
      <c r="N340" s="39">
        <f t="shared" si="53"/>
      </c>
      <c r="O340" s="39"/>
      <c r="P340" s="35"/>
      <c r="R340" t="s">
        <v>805</v>
      </c>
    </row>
    <row r="341" spans="1:18" ht="12.75">
      <c r="A341" s="92" t="s">
        <v>313</v>
      </c>
      <c r="B341" s="109">
        <v>3</v>
      </c>
      <c r="C341" s="26" t="str">
        <f>IF(A341="","",VLOOKUP($A338,IF(LEN(A341)=2,WSB,WSA),VLOOKUP(LEFT(A341,1),Teams,6,FALSE),FALSE))</f>
        <v>Jordyn Robinson</v>
      </c>
      <c r="D341" s="26" t="str">
        <f>IF(A341="","",VLOOKUP($A338,IF(LEN(A341)=2,WSB,WSA),VLOOKUP(LEFT(A341,1),Teams,7,FALSE),FALSE))</f>
        <v>U20</v>
      </c>
      <c r="E341" s="26" t="str">
        <f>IF(A341="","",VLOOKUP(LEFT(A341,1),Teams,2,FALSE))</f>
        <v>Epsom &amp; Ewell</v>
      </c>
      <c r="F341" s="94" t="s">
        <v>88</v>
      </c>
      <c r="G341" s="95">
        <v>2</v>
      </c>
      <c r="H341" s="14"/>
      <c r="I341" s="35">
        <f>IF(OR(F341="",F341-VLOOKUP($A338,WAWstandards,12,FALSE)&lt;0),0,INT(VLOOKUP($A338,WAWstandards,11,FALSE)*(F341-VLOOKUP($A338,WAWstandards,12,FALSE))^VLOOKUP($A338,WAWstandards,13,FALSE)+0.5))</f>
        <v>550</v>
      </c>
      <c r="J341" s="32" t="str">
        <f>IF(F341="","",IF(F341-VLOOKUP($A338,WAWstandards,VLOOKUP(D341,Wage,2,FALSE),FALSE)&lt;0,"","aw"))</f>
        <v>aw</v>
      </c>
      <c r="K341" s="39">
        <f t="shared" si="53"/>
        <v>2</v>
      </c>
      <c r="L341" s="39">
        <f t="shared" si="53"/>
      </c>
      <c r="M341" s="39">
        <f t="shared" si="53"/>
      </c>
      <c r="N341" s="39">
        <f t="shared" si="53"/>
      </c>
      <c r="O341" s="39"/>
      <c r="P341" s="35"/>
      <c r="R341" t="s">
        <v>805</v>
      </c>
    </row>
    <row r="342" spans="1:18" ht="12.75">
      <c r="A342" s="92" t="s">
        <v>327</v>
      </c>
      <c r="B342" s="109">
        <v>4</v>
      </c>
      <c r="C342" s="26" t="str">
        <f>IF(A342="","",VLOOKUP($A338,IF(LEN(A342)=2,WSB,WSA),VLOOKUP(LEFT(A342,1),Teams,6,FALSE),FALSE))</f>
        <v>Chelsey Eyers</v>
      </c>
      <c r="D342" s="26" t="str">
        <f>IF(A342="","",VLOOKUP($A338,IF(LEN(A342)=2,WSB,WSA),VLOOKUP(LEFT(A342,1),Teams,7,FALSE),FALSE))</f>
        <v>U20</v>
      </c>
      <c r="E342" s="26" t="str">
        <f>IF(A342="","",VLOOKUP(LEFT(A342,1),Teams,2,FALSE))</f>
        <v>Tonbridge</v>
      </c>
      <c r="F342" s="94" t="s">
        <v>89</v>
      </c>
      <c r="G342" s="95">
        <v>1</v>
      </c>
      <c r="H342" s="14"/>
      <c r="I342" s="35">
        <f>IF(OR(F342="",F342-VLOOKUP($A338,WAWstandards,12,FALSE)&lt;0),0,INT(VLOOKUP($A338,WAWstandards,11,FALSE)*(F342-VLOOKUP($A338,WAWstandards,12,FALSE))^VLOOKUP($A338,WAWstandards,13,FALSE)+0.5))</f>
        <v>389</v>
      </c>
      <c r="J342" s="32">
        <f>IF(F342="","",IF(F342-VLOOKUP($A338,WAWstandards,VLOOKUP(D342,Wage,2,FALSE),FALSE)&lt;0,"","aw"))</f>
      </c>
      <c r="K342" s="39">
        <f t="shared" si="53"/>
      </c>
      <c r="L342" s="39">
        <f t="shared" si="53"/>
      </c>
      <c r="M342" s="39">
        <f t="shared" si="53"/>
      </c>
      <c r="N342" s="39">
        <f t="shared" si="53"/>
        <v>1</v>
      </c>
      <c r="O342" s="39">
        <f>10-SUM(K339:N342)</f>
        <v>0</v>
      </c>
      <c r="P342" s="35"/>
      <c r="R342" t="s">
        <v>805</v>
      </c>
    </row>
    <row r="343" spans="1:16" ht="12.75">
      <c r="A343" s="106" t="s">
        <v>852</v>
      </c>
      <c r="B343" s="17"/>
      <c r="C343" s="27" t="s">
        <v>729</v>
      </c>
      <c r="D343" s="28"/>
      <c r="E343" s="29"/>
      <c r="F343" s="8"/>
      <c r="G343" s="42"/>
      <c r="H343" s="14"/>
      <c r="I343" s="35"/>
      <c r="J343" s="35"/>
      <c r="K343" s="39"/>
      <c r="L343" s="39"/>
      <c r="M343" s="39"/>
      <c r="N343" s="39"/>
      <c r="O343" s="39"/>
      <c r="P343" s="35" t="s">
        <v>934</v>
      </c>
    </row>
    <row r="344" spans="1:18" ht="12.75">
      <c r="A344" s="92" t="s">
        <v>320</v>
      </c>
      <c r="B344" s="109">
        <v>1</v>
      </c>
      <c r="C344" s="26" t="str">
        <f>IF(A344="","",VLOOKUP($A343,IF(LEN(A344)=2,WSB,WSA),VLOOKUP(LEFT(A344,1),Teams,6,FALSE),FALSE))</f>
        <v>Hanna Westhenry</v>
      </c>
      <c r="D344" s="26" t="str">
        <f>IF(A344="","",VLOOKUP($A343,IF(LEN(A344)=2,WSB,WSA),VLOOKUP(LEFT(A344,1),Teams,7,FALSE),FALSE))</f>
        <v>U17</v>
      </c>
      <c r="E344" s="26" t="str">
        <f>IF(A344="","",VLOOKUP(LEFT(A344,1),Teams,2,FALSE))</f>
        <v>Team Dorset</v>
      </c>
      <c r="F344" s="94" t="s">
        <v>90</v>
      </c>
      <c r="G344" s="95">
        <v>4</v>
      </c>
      <c r="H344" s="14"/>
      <c r="I344" s="35">
        <f>IF(OR(F344="",F344-VLOOKUP($A343,WAWstandards,12,FALSE)&lt;0),0,INT(VLOOKUP($A343,WAWstandards,11,FALSE)*(F344-VLOOKUP($A343,WAWstandards,12,FALSE))^VLOOKUP($A343,WAWstandards,13,FALSE)+0.5))</f>
        <v>595</v>
      </c>
      <c r="J344" s="32" t="str">
        <f>IF(F344="","",IF(F344-VLOOKUP($A343,WAWstandards,VLOOKUP(D344,Wage,2,FALSE),FALSE)&lt;0,"","aw"))</f>
        <v>aw</v>
      </c>
      <c r="K344" s="39">
        <f aca="true" t="shared" si="54" ref="K344:N347">IF($A344="","",IF(LEFT($A344,1)=K$8,$G344,""))</f>
      </c>
      <c r="L344" s="39">
        <f t="shared" si="54"/>
      </c>
      <c r="M344" s="39">
        <f t="shared" si="54"/>
        <v>4</v>
      </c>
      <c r="N344" s="39">
        <f t="shared" si="54"/>
      </c>
      <c r="O344" s="39"/>
      <c r="P344" s="35"/>
      <c r="R344" t="s">
        <v>805</v>
      </c>
    </row>
    <row r="345" spans="1:18" ht="12.75">
      <c r="A345" s="92" t="s">
        <v>312</v>
      </c>
      <c r="B345" s="109">
        <v>2</v>
      </c>
      <c r="C345" s="26" t="str">
        <f>IF(A345="","",VLOOKUP($A343,IF(LEN(A345)=2,WSB,WSA),VLOOKUP(LEFT(A345,1),Teams,6,FALSE),FALSE))</f>
        <v>Wendy Dunsford</v>
      </c>
      <c r="D345" s="26" t="str">
        <f>IF(A345="","",VLOOKUP($A343,IF(LEN(A345)=2,WSB,WSA),VLOOKUP(LEFT(A345,1),Teams,7,FALSE),FALSE))</f>
        <v>W50</v>
      </c>
      <c r="E345" s="26" t="str">
        <f>IF(A345="","",VLOOKUP(LEFT(A345,1),Teams,2,FALSE))</f>
        <v>Epsom &amp; Ewell</v>
      </c>
      <c r="F345" s="94" t="s">
        <v>91</v>
      </c>
      <c r="G345" s="95">
        <v>3</v>
      </c>
      <c r="H345" s="14"/>
      <c r="I345" s="35">
        <f>IF(OR(F345="",F345-VLOOKUP($A343,WAWstandards,12,FALSE)&lt;0),0,INT(VLOOKUP($A343,WAWstandards,11,FALSE)*(F345-VLOOKUP($A343,WAWstandards,12,FALSE))^VLOOKUP($A343,WAWstandards,13,FALSE)+0.5))</f>
        <v>540</v>
      </c>
      <c r="J345" s="32" t="str">
        <f>IF(F345="","",IF(F345-VLOOKUP($A343,WAWstandards,VLOOKUP(D345,Wage,2,FALSE),FALSE)&lt;0,"","aw"))</f>
        <v>aw</v>
      </c>
      <c r="K345" s="39">
        <f t="shared" si="54"/>
        <v>3</v>
      </c>
      <c r="L345" s="39">
        <f t="shared" si="54"/>
      </c>
      <c r="M345" s="39">
        <f t="shared" si="54"/>
      </c>
      <c r="N345" s="39">
        <f t="shared" si="54"/>
      </c>
      <c r="O345" s="39"/>
      <c r="P345" s="35"/>
      <c r="R345" t="s">
        <v>805</v>
      </c>
    </row>
    <row r="346" spans="1:18" ht="12.75">
      <c r="A346" s="92" t="s">
        <v>321</v>
      </c>
      <c r="B346" s="109">
        <v>3</v>
      </c>
      <c r="C346" s="26" t="str">
        <f>IF(A346="","",VLOOKUP($A343,IF(LEN(A346)=2,WSB,WSA),VLOOKUP(LEFT(A346,1),Teams,6,FALSE),FALSE))</f>
        <v>Rebecca Healey</v>
      </c>
      <c r="D346" s="26" t="str">
        <f>IF(A346="","",VLOOKUP($A343,IF(LEN(A346)=2,WSB,WSA),VLOOKUP(LEFT(A346,1),Teams,7,FALSE),FALSE))</f>
        <v>SW</v>
      </c>
      <c r="E346" s="26" t="str">
        <f>IF(A346="","",VLOOKUP(LEFT(A346,1),Teams,2,FALSE))</f>
        <v>Crawley</v>
      </c>
      <c r="F346" s="94" t="s">
        <v>92</v>
      </c>
      <c r="G346" s="95">
        <v>2</v>
      </c>
      <c r="H346" s="14"/>
      <c r="I346" s="35">
        <f>IF(OR(F346="",F346-VLOOKUP($A343,WAWstandards,12,FALSE)&lt;0),0,INT(VLOOKUP($A343,WAWstandards,11,FALSE)*(F346-VLOOKUP($A343,WAWstandards,12,FALSE))^VLOOKUP($A343,WAWstandards,13,FALSE)+0.5))</f>
        <v>519</v>
      </c>
      <c r="J346" s="32">
        <f>IF(F346="","",IF(F346-VLOOKUP($A343,WAWstandards,VLOOKUP(D346,Wage,2,FALSE),FALSE)&lt;0,"","aw"))</f>
      </c>
      <c r="K346" s="39">
        <f t="shared" si="54"/>
      </c>
      <c r="L346" s="39">
        <f t="shared" si="54"/>
        <v>2</v>
      </c>
      <c r="M346" s="39">
        <f t="shared" si="54"/>
      </c>
      <c r="N346" s="39">
        <f t="shared" si="54"/>
      </c>
      <c r="O346" s="39"/>
      <c r="P346" s="35"/>
      <c r="R346" t="s">
        <v>805</v>
      </c>
    </row>
    <row r="347" spans="1:18" ht="12.75">
      <c r="A347" s="92"/>
      <c r="B347" s="109">
        <v>4</v>
      </c>
      <c r="C347" s="26">
        <f>IF(A347="","",VLOOKUP($A343,IF(LEN(A347)=2,WSB,WSA),VLOOKUP(LEFT(A347,1),Teams,6,FALSE),FALSE))</f>
      </c>
      <c r="D347" s="26">
        <f>IF(A347="","",VLOOKUP($A343,IF(LEN(A347)=2,WSB,WSA),VLOOKUP(LEFT(A347,1),Teams,7,FALSE),FALSE))</f>
      </c>
      <c r="E347" s="26">
        <f>IF(A347="","",VLOOKUP(LEFT(A347,1),Teams,2,FALSE))</f>
      </c>
      <c r="F347" s="94"/>
      <c r="G347" s="95">
        <v>1</v>
      </c>
      <c r="H347" s="14"/>
      <c r="I347" s="35">
        <f>IF(OR(F347="",F347-VLOOKUP($A343,WAWstandards,12,FALSE)&lt;0),0,INT(VLOOKUP($A343,WAWstandards,11,FALSE)*(F347-VLOOKUP($A343,WAWstandards,12,FALSE))^VLOOKUP($A343,WAWstandards,13,FALSE)+0.5))</f>
        <v>0</v>
      </c>
      <c r="J347" s="32">
        <f>IF(F347="","",IF(F347-VLOOKUP($A343,WAWstandards,VLOOKUP(D347,Wage,2,FALSE),FALSE)&lt;0,"","aw"))</f>
      </c>
      <c r="K347" s="39">
        <f t="shared" si="54"/>
      </c>
      <c r="L347" s="39">
        <f t="shared" si="54"/>
      </c>
      <c r="M347" s="39">
        <f t="shared" si="54"/>
      </c>
      <c r="N347" s="39">
        <f t="shared" si="54"/>
      </c>
      <c r="O347" s="39">
        <f>10-SUM(K344:N347)</f>
        <v>1</v>
      </c>
      <c r="P347" s="35"/>
      <c r="R347" t="s">
        <v>805</v>
      </c>
    </row>
    <row r="348" spans="1:16" ht="12.75">
      <c r="A348" s="106" t="s">
        <v>854</v>
      </c>
      <c r="B348" s="17"/>
      <c r="C348" s="27" t="s">
        <v>730</v>
      </c>
      <c r="D348" s="28"/>
      <c r="E348" s="29"/>
      <c r="F348" s="8"/>
      <c r="G348" s="42"/>
      <c r="H348" s="14"/>
      <c r="I348" s="35"/>
      <c r="J348" s="35"/>
      <c r="K348" s="39"/>
      <c r="L348" s="39"/>
      <c r="M348" s="39"/>
      <c r="N348" s="39"/>
      <c r="O348" s="39"/>
      <c r="P348" s="35" t="s">
        <v>935</v>
      </c>
    </row>
    <row r="349" spans="1:18" ht="12.75">
      <c r="A349" s="92" t="s">
        <v>315</v>
      </c>
      <c r="B349" s="109">
        <v>1</v>
      </c>
      <c r="C349" s="26" t="str">
        <f>IF(A349="","",VLOOKUP($A348,IF(LEN(A349)=2,WSB,WSA),VLOOKUP(LEFT(A349,1),Teams,6,FALSE),FALSE))</f>
        <v>Jo Rowland</v>
      </c>
      <c r="D349" s="26" t="str">
        <f>IF(A349="","",VLOOKUP($A348,IF(LEN(A349)=2,WSB,WSA),VLOOKUP(LEFT(A349,1),Teams,7,FALSE),FALSE))</f>
        <v>SW</v>
      </c>
      <c r="E349" s="26" t="str">
        <f>IF(A349="","",VLOOKUP(LEFT(A349,1),Teams,2,FALSE))</f>
        <v>Crawley</v>
      </c>
      <c r="F349" s="94" t="s">
        <v>159</v>
      </c>
      <c r="G349" s="95">
        <v>4</v>
      </c>
      <c r="H349" s="14"/>
      <c r="I349" s="35">
        <f>IF(OR(F349="",F349-VLOOKUP($A348,WAWstandards,12,FALSE)&lt;0),0,INT(VLOOKUP($A348,WAWstandards,11,FALSE)*(F349-VLOOKUP($A348,WAWstandards,12,FALSE))^VLOOKUP($A348,WAWstandards,13,FALSE)+0.5))</f>
        <v>823</v>
      </c>
      <c r="J349" s="32" t="str">
        <f>IF(F349="","",IF(F349-VLOOKUP($A348,WAWstandards,VLOOKUP(D349,Wage,2,FALSE),FALSE)&lt;0,"","aw"))</f>
        <v>aw</v>
      </c>
      <c r="K349" s="39">
        <f aca="true" t="shared" si="55" ref="K349:N352">IF($A349="","",IF(LEFT($A349,1)=K$8,$G349,""))</f>
      </c>
      <c r="L349" s="39">
        <f t="shared" si="55"/>
        <v>4</v>
      </c>
      <c r="M349" s="39">
        <f t="shared" si="55"/>
      </c>
      <c r="N349" s="39">
        <f t="shared" si="55"/>
      </c>
      <c r="O349" s="39"/>
      <c r="P349" s="35"/>
      <c r="R349" t="s">
        <v>807</v>
      </c>
    </row>
    <row r="350" spans="1:18" ht="12.75">
      <c r="A350" s="92" t="s">
        <v>312</v>
      </c>
      <c r="B350" s="109">
        <v>2</v>
      </c>
      <c r="C350" s="26" t="str">
        <f>IF(A350="","",VLOOKUP($A348,IF(LEN(A350)=2,WSB,WSA),VLOOKUP(LEFT(A350,1),Teams,6,FALSE),FALSE))</f>
        <v>Diana Norman</v>
      </c>
      <c r="D350" s="26" t="str">
        <f>IF(A350="","",VLOOKUP($A348,IF(LEN(A350)=2,WSB,WSA),VLOOKUP(LEFT(A350,1),Teams,7,FALSE),FALSE))</f>
        <v>W40</v>
      </c>
      <c r="E350" s="26" t="str">
        <f>IF(A350="","",VLOOKUP(LEFT(A350,1),Teams,2,FALSE))</f>
        <v>Epsom &amp; Ewell</v>
      </c>
      <c r="F350" s="94" t="s">
        <v>160</v>
      </c>
      <c r="G350" s="95">
        <v>3</v>
      </c>
      <c r="H350" s="14"/>
      <c r="I350" s="35">
        <f>IF(OR(F350="",F350-VLOOKUP($A348,WAWstandards,12,FALSE)&lt;0),0,INT(VLOOKUP($A348,WAWstandards,11,FALSE)*(F350-VLOOKUP($A348,WAWstandards,12,FALSE))^VLOOKUP($A348,WAWstandards,13,FALSE)+0.5))</f>
        <v>695</v>
      </c>
      <c r="J350" s="32" t="str">
        <f>IF(F350="","",IF(F350-VLOOKUP($A348,WAWstandards,VLOOKUP(D350,Wage,2,FALSE),FALSE)&lt;0,"","aw"))</f>
        <v>aw</v>
      </c>
      <c r="K350" s="39">
        <f t="shared" si="55"/>
        <v>3</v>
      </c>
      <c r="L350" s="39">
        <f t="shared" si="55"/>
      </c>
      <c r="M350" s="39">
        <f t="shared" si="55"/>
      </c>
      <c r="N350" s="39">
        <f t="shared" si="55"/>
      </c>
      <c r="O350" s="39"/>
      <c r="P350" s="35"/>
      <c r="R350" t="s">
        <v>807</v>
      </c>
    </row>
    <row r="351" spans="1:18" ht="12.75">
      <c r="A351" s="92" t="s">
        <v>327</v>
      </c>
      <c r="B351" s="109">
        <v>3</v>
      </c>
      <c r="C351" s="26" t="str">
        <f>IF(A351="","",VLOOKUP($A348,IF(LEN(A351)=2,WSB,WSA),VLOOKUP(LEFT(A351,1),Teams,6,FALSE),FALSE))</f>
        <v>Jessica Murphy</v>
      </c>
      <c r="D351" s="26" t="str">
        <f>IF(A351="","",VLOOKUP($A348,IF(LEN(A351)=2,WSB,WSA),VLOOKUP(LEFT(A351,1),Teams,7,FALSE),FALSE))</f>
        <v>U20</v>
      </c>
      <c r="E351" s="26" t="str">
        <f>IF(A351="","",VLOOKUP(LEFT(A351,1),Teams,2,FALSE))</f>
        <v>Tonbridge</v>
      </c>
      <c r="F351" s="94" t="s">
        <v>161</v>
      </c>
      <c r="G351" s="95">
        <v>2</v>
      </c>
      <c r="H351" s="14"/>
      <c r="I351" s="35">
        <f>IF(OR(F351="",F351-VLOOKUP($A348,WAWstandards,12,FALSE)&lt;0),0,INT(VLOOKUP($A348,WAWstandards,11,FALSE)*(F351-VLOOKUP($A348,WAWstandards,12,FALSE))^VLOOKUP($A348,WAWstandards,13,FALSE)+0.5))</f>
        <v>575</v>
      </c>
      <c r="J351" s="32">
        <f>IF(F351="","",IF(F351-VLOOKUP($A348,WAWstandards,VLOOKUP(D351,Wage,2,FALSE),FALSE)&lt;0,"","aw"))</f>
      </c>
      <c r="K351" s="39">
        <f t="shared" si="55"/>
      </c>
      <c r="L351" s="39">
        <f t="shared" si="55"/>
      </c>
      <c r="M351" s="39">
        <f t="shared" si="55"/>
      </c>
      <c r="N351" s="39">
        <f t="shared" si="55"/>
        <v>2</v>
      </c>
      <c r="O351" s="39"/>
      <c r="P351" s="35"/>
      <c r="R351" t="s">
        <v>807</v>
      </c>
    </row>
    <row r="352" spans="1:18" ht="12.75">
      <c r="A352" s="92" t="s">
        <v>328</v>
      </c>
      <c r="B352" s="109">
        <v>4</v>
      </c>
      <c r="C352" s="26" t="str">
        <f>IF(A352="","",VLOOKUP($A348,IF(LEN(A352)=2,WSB,WSA),VLOOKUP(LEFT(A352,1),Teams,6,FALSE),FALSE))</f>
        <v>Jess May</v>
      </c>
      <c r="D352" s="26" t="str">
        <f>IF(A352="","",VLOOKUP($A348,IF(LEN(A352)=2,WSB,WSA),VLOOKUP(LEFT(A352,1),Teams,7,FALSE),FALSE))</f>
        <v>U17</v>
      </c>
      <c r="E352" s="26" t="str">
        <f>IF(A352="","",VLOOKUP(LEFT(A352,1),Teams,2,FALSE))</f>
        <v>Team Dorset</v>
      </c>
      <c r="F352" s="94" t="s">
        <v>162</v>
      </c>
      <c r="G352" s="95">
        <v>1</v>
      </c>
      <c r="H352" s="14"/>
      <c r="I352" s="35">
        <f>IF(OR(F352="",F352-VLOOKUP($A348,WAWstandards,12,FALSE)&lt;0),0,INT(VLOOKUP($A348,WAWstandards,11,FALSE)*(F352-VLOOKUP($A348,WAWstandards,12,FALSE))^VLOOKUP($A348,WAWstandards,13,FALSE)+0.5))</f>
        <v>529</v>
      </c>
      <c r="J352" s="32">
        <f>IF(F352="","",IF(F352-VLOOKUP($A348,WAWstandards,VLOOKUP(D352,Wage,2,FALSE),FALSE)&lt;0,"","aw"))</f>
      </c>
      <c r="K352" s="39">
        <f t="shared" si="55"/>
      </c>
      <c r="L352" s="39">
        <f t="shared" si="55"/>
      </c>
      <c r="M352" s="39">
        <f t="shared" si="55"/>
        <v>1</v>
      </c>
      <c r="N352" s="39">
        <f t="shared" si="55"/>
      </c>
      <c r="O352" s="39">
        <f>10-SUM(K349:N352)</f>
        <v>0</v>
      </c>
      <c r="P352" s="35"/>
      <c r="R352" t="s">
        <v>807</v>
      </c>
    </row>
    <row r="353" spans="1:16" ht="12.75">
      <c r="A353" s="106" t="s">
        <v>854</v>
      </c>
      <c r="B353" s="17"/>
      <c r="C353" s="27" t="s">
        <v>731</v>
      </c>
      <c r="D353" s="28"/>
      <c r="E353" s="29"/>
      <c r="F353" s="8"/>
      <c r="G353" s="42"/>
      <c r="H353" s="14"/>
      <c r="I353" s="35"/>
      <c r="J353" s="35"/>
      <c r="K353" s="39"/>
      <c r="L353" s="39"/>
      <c r="M353" s="39"/>
      <c r="N353" s="39"/>
      <c r="O353" s="39"/>
      <c r="P353" s="35" t="s">
        <v>936</v>
      </c>
    </row>
    <row r="354" spans="1:18" ht="12.75">
      <c r="A354" s="92" t="s">
        <v>313</v>
      </c>
      <c r="B354" s="109">
        <v>1</v>
      </c>
      <c r="C354" s="26" t="str">
        <f>IF(A354="","",VLOOKUP($A353,IF(LEN(A354)=2,WSB,WSA),VLOOKUP(LEFT(A354,1),Teams,6,FALSE),FALSE))</f>
        <v>Julia Machin</v>
      </c>
      <c r="D354" s="26" t="str">
        <f>IF(A354="","",VLOOKUP($A353,IF(LEN(A354)=2,WSB,WSA),VLOOKUP(LEFT(A354,1),Teams,7,FALSE),FALSE))</f>
        <v>W40</v>
      </c>
      <c r="E354" s="26" t="str">
        <f>IF(A354="","",VLOOKUP(LEFT(A354,1),Teams,2,FALSE))</f>
        <v>Epsom &amp; Ewell</v>
      </c>
      <c r="F354" s="94" t="s">
        <v>163</v>
      </c>
      <c r="G354" s="95">
        <v>4</v>
      </c>
      <c r="H354" s="14"/>
      <c r="I354" s="35">
        <f>IF(OR(F354="",F354-VLOOKUP($A353,WAWstandards,12,FALSE)&lt;0),0,INT(VLOOKUP($A353,WAWstandards,11,FALSE)*(F354-VLOOKUP($A353,WAWstandards,12,FALSE))^VLOOKUP($A353,WAWstandards,13,FALSE)+0.5))</f>
        <v>674</v>
      </c>
      <c r="J354" s="32" t="str">
        <f>IF(F354="","",IF(F354-VLOOKUP($A353,WAWstandards,VLOOKUP(D354,Wage,2,FALSE),FALSE)&lt;0,"","aw"))</f>
        <v>aw</v>
      </c>
      <c r="K354" s="39">
        <f aca="true" t="shared" si="56" ref="K354:N357">IF($A354="","",IF(LEFT($A354,1)=K$8,$G354,""))</f>
        <v>4</v>
      </c>
      <c r="L354" s="39">
        <f t="shared" si="56"/>
      </c>
      <c r="M354" s="39">
        <f t="shared" si="56"/>
      </c>
      <c r="N354" s="39">
        <f t="shared" si="56"/>
      </c>
      <c r="O354" s="39"/>
      <c r="P354" s="35"/>
      <c r="R354" t="s">
        <v>807</v>
      </c>
    </row>
    <row r="355" spans="1:18" ht="12.75">
      <c r="A355" s="92" t="s">
        <v>321</v>
      </c>
      <c r="B355" s="109">
        <v>2</v>
      </c>
      <c r="C355" s="26" t="str">
        <f>IF(A355="","",VLOOKUP($A353,IF(LEN(A355)=2,WSB,WSA),VLOOKUP(LEFT(A355,1),Teams,6,FALSE),FALSE))</f>
        <v>Karen Shackel </v>
      </c>
      <c r="D355" s="26" t="str">
        <f>IF(A355="","",VLOOKUP($A353,IF(LEN(A355)=2,WSB,WSA),VLOOKUP(LEFT(A355,1),Teams,7,FALSE),FALSE))</f>
        <v>SW</v>
      </c>
      <c r="E355" s="26" t="str">
        <f>IF(A355="","",VLOOKUP(LEFT(A355,1),Teams,2,FALSE))</f>
        <v>Crawley</v>
      </c>
      <c r="F355" s="94" t="s">
        <v>164</v>
      </c>
      <c r="G355" s="95">
        <v>3</v>
      </c>
      <c r="H355" s="14"/>
      <c r="I355" s="35">
        <f>IF(OR(F355="",F355-VLOOKUP($A353,WAWstandards,12,FALSE)&lt;0),0,INT(VLOOKUP($A353,WAWstandards,11,FALSE)*(F355-VLOOKUP($A353,WAWstandards,12,FALSE))^VLOOKUP($A353,WAWstandards,13,FALSE)+0.5))</f>
        <v>674</v>
      </c>
      <c r="J355" s="32" t="str">
        <f>IF(F355="","",IF(F355-VLOOKUP($A353,WAWstandards,VLOOKUP(D355,Wage,2,FALSE),FALSE)&lt;0,"","aw"))</f>
        <v>aw</v>
      </c>
      <c r="K355" s="39">
        <f t="shared" si="56"/>
      </c>
      <c r="L355" s="39">
        <f t="shared" si="56"/>
        <v>3</v>
      </c>
      <c r="M355" s="39">
        <f t="shared" si="56"/>
      </c>
      <c r="N355" s="39">
        <f t="shared" si="56"/>
      </c>
      <c r="O355" s="39"/>
      <c r="P355" s="35"/>
      <c r="R355" t="s">
        <v>807</v>
      </c>
    </row>
    <row r="356" spans="1:18" ht="12.75">
      <c r="A356" s="92" t="s">
        <v>320</v>
      </c>
      <c r="B356" s="109">
        <v>3</v>
      </c>
      <c r="C356" s="26" t="str">
        <f>IF(A356="","",VLOOKUP($A353,IF(LEN(A356)=2,WSB,WSA),VLOOKUP(LEFT(A356,1),Teams,6,FALSE),FALSE))</f>
        <v>Trudi Carter</v>
      </c>
      <c r="D356" s="26" t="str">
        <f>IF(A356="","",VLOOKUP($A353,IF(LEN(A356)=2,WSB,WSA),VLOOKUP(LEFT(A356,1),Teams,7,FALSE),FALSE))</f>
        <v>W40</v>
      </c>
      <c r="E356" s="26" t="str">
        <f>IF(A356="","",VLOOKUP(LEFT(A356,1),Teams,2,FALSE))</f>
        <v>Team Dorset</v>
      </c>
      <c r="F356" s="94" t="s">
        <v>165</v>
      </c>
      <c r="G356" s="95">
        <v>2</v>
      </c>
      <c r="H356" s="14"/>
      <c r="I356" s="35">
        <f>IF(OR(F356="",F356-VLOOKUP($A353,WAWstandards,12,FALSE)&lt;0),0,INT(VLOOKUP($A353,WAWstandards,11,FALSE)*(F356-VLOOKUP($A353,WAWstandards,12,FALSE))^VLOOKUP($A353,WAWstandards,13,FALSE)+0.5))</f>
        <v>494</v>
      </c>
      <c r="J356" s="32">
        <f>IF(F356="","",IF(F356-VLOOKUP($A353,WAWstandards,VLOOKUP(D356,Wage,2,FALSE),FALSE)&lt;0,"","aw"))</f>
      </c>
      <c r="K356" s="39">
        <f t="shared" si="56"/>
      </c>
      <c r="L356" s="39">
        <f t="shared" si="56"/>
      </c>
      <c r="M356" s="39">
        <f t="shared" si="56"/>
        <v>2</v>
      </c>
      <c r="N356" s="39">
        <f t="shared" si="56"/>
      </c>
      <c r="O356" s="39"/>
      <c r="P356" s="35"/>
      <c r="R356" t="s">
        <v>807</v>
      </c>
    </row>
    <row r="357" spans="1:18" ht="12.75">
      <c r="A357" s="92" t="s">
        <v>322</v>
      </c>
      <c r="B357" s="109">
        <v>4</v>
      </c>
      <c r="C357" s="26" t="str">
        <f>IF(A357="","",VLOOKUP($A353,IF(LEN(A357)=2,WSB,WSA),VLOOKUP(LEFT(A357,1),Teams,6,FALSE),FALSE))</f>
        <v>Eleanor Ribbits</v>
      </c>
      <c r="D357" s="26" t="str">
        <f>IF(A357="","",VLOOKUP($A353,IF(LEN(A357)=2,WSB,WSA),VLOOKUP(LEFT(A357,1),Teams,7,FALSE),FALSE))</f>
        <v>U17</v>
      </c>
      <c r="E357" s="26" t="str">
        <f>IF(A357="","",VLOOKUP(LEFT(A357,1),Teams,2,FALSE))</f>
        <v>Tonbridge</v>
      </c>
      <c r="F357" s="94" t="s">
        <v>166</v>
      </c>
      <c r="G357" s="95">
        <v>1</v>
      </c>
      <c r="H357" s="14"/>
      <c r="I357" s="35">
        <f>IF(OR(F357="",F357-VLOOKUP($A353,WAWstandards,12,FALSE)&lt;0),0,INT(VLOOKUP($A353,WAWstandards,11,FALSE)*(F357-VLOOKUP($A353,WAWstandards,12,FALSE))^VLOOKUP($A353,WAWstandards,13,FALSE)+0.5))</f>
        <v>298</v>
      </c>
      <c r="J357" s="32">
        <f>IF(F357="","",IF(F357-VLOOKUP($A353,WAWstandards,VLOOKUP(D357,Wage,2,FALSE),FALSE)&lt;0,"","aw"))</f>
      </c>
      <c r="K357" s="39">
        <f t="shared" si="56"/>
      </c>
      <c r="L357" s="39">
        <f t="shared" si="56"/>
      </c>
      <c r="M357" s="39">
        <f t="shared" si="56"/>
      </c>
      <c r="N357" s="39">
        <f t="shared" si="56"/>
        <v>1</v>
      </c>
      <c r="O357" s="39">
        <f>10-SUM(K354:N357)</f>
        <v>0</v>
      </c>
      <c r="P357" s="35"/>
      <c r="R357" t="s">
        <v>807</v>
      </c>
    </row>
    <row r="358" spans="1:16" ht="12.75">
      <c r="A358" s="106" t="s">
        <v>907</v>
      </c>
      <c r="B358" s="17"/>
      <c r="C358" s="27" t="s">
        <v>670</v>
      </c>
      <c r="D358" s="28"/>
      <c r="E358" s="29"/>
      <c r="F358" s="8"/>
      <c r="G358" s="42"/>
      <c r="H358" s="14"/>
      <c r="I358" s="35"/>
      <c r="J358" s="40"/>
      <c r="K358" s="39"/>
      <c r="L358" s="39"/>
      <c r="M358" s="39"/>
      <c r="N358" s="39"/>
      <c r="O358" s="39"/>
      <c r="P358" s="35" t="s">
        <v>907</v>
      </c>
    </row>
    <row r="359" spans="1:18" ht="12.75">
      <c r="A359" s="92" t="s">
        <v>315</v>
      </c>
      <c r="B359" s="109">
        <v>1</v>
      </c>
      <c r="C359" s="26" t="str">
        <f>IF(A359="","",VLOOKUP($A358,IF(LEN(A359)=2,WSB,WSA),VLOOKUP(LEFT(A359,1),Teams,6,FALSE),FALSE))</f>
        <v>Crawley</v>
      </c>
      <c r="D359" s="26" t="str">
        <f>IF(A359="","",VLOOKUP($A358,IF(LEN(A359)=2,WSB,WSA),VLOOKUP(LEFT(A359,1),Teams,7,FALSE),FALSE))</f>
        <v>SW</v>
      </c>
      <c r="E359" s="26"/>
      <c r="F359" s="94" t="s">
        <v>13</v>
      </c>
      <c r="G359" s="95">
        <v>4</v>
      </c>
      <c r="H359" s="14"/>
      <c r="I359" s="35">
        <f>IF(OR(F359="",F359-VLOOKUP($A358,WAWstandards,12,FALSE)&gt;0),0,INT(VLOOKUP($A358,WAWstandards,11,FALSE)*(VLOOKUP($A358,WAWstandards,12,FALSE)-F359)^VLOOKUP($A358,WAWstandards,13,FALSE)+0.5))</f>
        <v>473</v>
      </c>
      <c r="J359" s="32">
        <f>IF(F359="","",IF(F359-VLOOKUP($A358,WAWstandards,VLOOKUP(D359,Wage,2,FALSE),FALSE)&gt;0,"","aw"))</f>
      </c>
      <c r="K359" s="39">
        <f aca="true" t="shared" si="57" ref="K359:N362">IF($A359="","",IF(LEFT($A359,1)=K$8,$G359,""))</f>
      </c>
      <c r="L359" s="39">
        <f t="shared" si="57"/>
        <v>4</v>
      </c>
      <c r="M359" s="39">
        <f t="shared" si="57"/>
      </c>
      <c r="N359" s="39">
        <f t="shared" si="57"/>
      </c>
      <c r="O359" s="39"/>
      <c r="P359" s="35"/>
      <c r="R359" t="s">
        <v>801</v>
      </c>
    </row>
    <row r="360" spans="1:18" ht="12.75">
      <c r="A360" s="92" t="s">
        <v>327</v>
      </c>
      <c r="B360" s="109">
        <v>2</v>
      </c>
      <c r="C360" s="26" t="str">
        <f>IF(A360="","",VLOOKUP($A358,IF(LEN(A360)=2,WSB,WSA),VLOOKUP(LEFT(A360,1),Teams,6,FALSE),FALSE))</f>
        <v>Tonbridge</v>
      </c>
      <c r="D360" s="26" t="str">
        <f>IF(A360="","",VLOOKUP($A358,IF(LEN(A360)=2,WSB,WSA),VLOOKUP(LEFT(A360,1),Teams,7,FALSE),FALSE))</f>
        <v>SW</v>
      </c>
      <c r="E360" s="26"/>
      <c r="F360" s="94" t="s">
        <v>1039</v>
      </c>
      <c r="G360" s="95">
        <v>3</v>
      </c>
      <c r="H360" s="14"/>
      <c r="I360" s="35">
        <f>IF(OR(F360="",F360-VLOOKUP($A358,WAWstandards,12,FALSE)&gt;0),0,INT(VLOOKUP($A358,WAWstandards,11,FALSE)*(VLOOKUP($A358,WAWstandards,12,FALSE)-F360)^VLOOKUP($A358,WAWstandards,13,FALSE)+0.5))</f>
        <v>360</v>
      </c>
      <c r="J360" s="32">
        <f>IF(F360="","",IF(F360-VLOOKUP($A358,WAWstandards,VLOOKUP(D360,Wage,2,FALSE),FALSE)&gt;0,"","aw"))</f>
      </c>
      <c r="K360" s="39">
        <f t="shared" si="57"/>
      </c>
      <c r="L360" s="39">
        <f t="shared" si="57"/>
      </c>
      <c r="M360" s="39">
        <f t="shared" si="57"/>
      </c>
      <c r="N360" s="39">
        <f t="shared" si="57"/>
        <v>3</v>
      </c>
      <c r="O360" s="39"/>
      <c r="P360" s="35"/>
      <c r="R360" t="s">
        <v>801</v>
      </c>
    </row>
    <row r="361" spans="1:18" ht="12.75">
      <c r="A361" s="92" t="s">
        <v>320</v>
      </c>
      <c r="B361" s="109">
        <v>3</v>
      </c>
      <c r="C361" s="26" t="str">
        <f>IF(A361="","",VLOOKUP($A358,IF(LEN(A361)=2,WSB,WSA),VLOOKUP(LEFT(A361,1),Teams,6,FALSE),FALSE))</f>
        <v>Team Dorset</v>
      </c>
      <c r="D361" s="26" t="str">
        <f>IF(A361="","",VLOOKUP($A358,IF(LEN(A361)=2,WSB,WSA),VLOOKUP(LEFT(A361,1),Teams,7,FALSE),FALSE))</f>
        <v>SW</v>
      </c>
      <c r="E361" s="26"/>
      <c r="F361" s="94" t="s">
        <v>14</v>
      </c>
      <c r="G361" s="95">
        <v>2</v>
      </c>
      <c r="H361" s="14"/>
      <c r="I361" s="35">
        <f>IF(OR(F361="",F361-VLOOKUP($A358,WAWstandards,12,FALSE)&gt;0),0,INT(VLOOKUP($A358,WAWstandards,11,FALSE)*(VLOOKUP($A358,WAWstandards,12,FALSE)-F361)^VLOOKUP($A358,WAWstandards,13,FALSE)+0.5))</f>
        <v>226</v>
      </c>
      <c r="J361" s="32">
        <f>IF(F361="","",IF(F361-VLOOKUP($A358,WAWstandards,VLOOKUP(D361,Wage,2,FALSE),FALSE)&gt;0,"","aw"))</f>
      </c>
      <c r="K361" s="39">
        <f t="shared" si="57"/>
      </c>
      <c r="L361" s="39">
        <f t="shared" si="57"/>
      </c>
      <c r="M361" s="39">
        <f t="shared" si="57"/>
        <v>2</v>
      </c>
      <c r="N361" s="39">
        <f t="shared" si="57"/>
      </c>
      <c r="O361" s="39"/>
      <c r="P361" s="35"/>
      <c r="R361" t="s">
        <v>801</v>
      </c>
    </row>
    <row r="362" spans="1:18" ht="12.75">
      <c r="A362" s="92" t="s">
        <v>312</v>
      </c>
      <c r="B362" s="109">
        <v>4</v>
      </c>
      <c r="C362" s="26" t="str">
        <f>IF(A362="","",VLOOKUP($A358,IF(LEN(A362)=2,WSB,WSA),VLOOKUP(LEFT(A362,1),Teams,6,FALSE),FALSE))</f>
        <v>Epsom &amp; Ewell</v>
      </c>
      <c r="D362" s="26" t="str">
        <f>IF(A362="","",VLOOKUP($A358,IF(LEN(A362)=2,WSB,WSA),VLOOKUP(LEFT(A362,1),Teams,7,FALSE),FALSE))</f>
        <v>SW</v>
      </c>
      <c r="E362" s="26"/>
      <c r="F362" s="94"/>
      <c r="G362" s="95">
        <v>0</v>
      </c>
      <c r="H362" s="14"/>
      <c r="I362" s="35">
        <f>IF(OR(F362="",F362-VLOOKUP($A358,WAWstandards,12,FALSE)&gt;0),0,INT(VLOOKUP($A358,WAWstandards,11,FALSE)*(VLOOKUP($A358,WAWstandards,12,FALSE)-F362)^VLOOKUP($A358,WAWstandards,13,FALSE)+0.5))</f>
        <v>0</v>
      </c>
      <c r="J362" s="32">
        <f>IF(F362="","",IF(F362-VLOOKUP($A358,WAWstandards,VLOOKUP(D362,Wage,2,FALSE),FALSE)&gt;0,"","aw"))</f>
      </c>
      <c r="K362" s="39">
        <f t="shared" si="57"/>
        <v>0</v>
      </c>
      <c r="L362" s="39">
        <f t="shared" si="57"/>
      </c>
      <c r="M362" s="39">
        <f t="shared" si="57"/>
      </c>
      <c r="N362" s="39">
        <f t="shared" si="57"/>
      </c>
      <c r="O362" s="39">
        <f>10-SUM(K359:N362)</f>
        <v>1</v>
      </c>
      <c r="P362" s="35"/>
      <c r="R362" t="s">
        <v>801</v>
      </c>
    </row>
    <row r="363" spans="1:16" ht="12.75">
      <c r="A363" s="106" t="s">
        <v>908</v>
      </c>
      <c r="B363" s="17"/>
      <c r="C363" s="27" t="s">
        <v>672</v>
      </c>
      <c r="D363" s="28"/>
      <c r="E363" s="29"/>
      <c r="F363" s="8"/>
      <c r="G363" s="42"/>
      <c r="H363" s="14"/>
      <c r="I363" s="35"/>
      <c r="J363" s="40"/>
      <c r="K363" s="39"/>
      <c r="L363" s="39"/>
      <c r="M363" s="39"/>
      <c r="N363" s="39"/>
      <c r="O363" s="39"/>
      <c r="P363" s="35" t="s">
        <v>908</v>
      </c>
    </row>
    <row r="364" spans="1:18" ht="12.75">
      <c r="A364" s="92" t="s">
        <v>315</v>
      </c>
      <c r="B364" s="109">
        <v>1</v>
      </c>
      <c r="C364" s="26" t="str">
        <f>IF(A364="","",VLOOKUP($A363,IF(LEN(A364)=2,WSB,WSA),VLOOKUP(LEFT(A364,1),Teams,6,FALSE),FALSE))</f>
        <v>Crawley</v>
      </c>
      <c r="D364" s="26" t="str">
        <f>IF(A364="","",VLOOKUP($A363,IF(LEN(A364)=2,WSB,WSA),VLOOKUP(LEFT(A364,1),Teams,7,FALSE),FALSE))</f>
        <v>SW</v>
      </c>
      <c r="E364" s="26"/>
      <c r="F364" s="94" t="s">
        <v>31</v>
      </c>
      <c r="G364" s="95">
        <v>4</v>
      </c>
      <c r="H364" s="14"/>
      <c r="I364" s="35">
        <f>IF(OR(F364="",TEXT(F364,"[s].0")-VLOOKUP($A363,WAWstandards,12,FALSE)&gt;0),0,INT(VLOOKUP($A363,WAWstandards,11,FALSE)*(VLOOKUP($A363,WAWstandards,12,FALSE)-TEXT(F364,"[s].0"))^VLOOKUP($A363,WAWstandards,13,FALSE)+0.5))</f>
        <v>496</v>
      </c>
      <c r="J364" s="32">
        <f>IF(F364="","",IF(F364-VLOOKUP($A363,WAWstandards,VLOOKUP(D364,Wage,2,FALSE),FALSE)&gt;0,"","aw"))</f>
      </c>
      <c r="K364" s="39">
        <f aca="true" t="shared" si="58" ref="K364:N367">IF($A364="","",IF(LEFT($A364,1)=K$8,$G364,""))</f>
      </c>
      <c r="L364" s="39">
        <f t="shared" si="58"/>
        <v>4</v>
      </c>
      <c r="M364" s="39">
        <f t="shared" si="58"/>
      </c>
      <c r="N364" s="39">
        <f t="shared" si="58"/>
      </c>
      <c r="O364" s="39"/>
      <c r="P364" s="35"/>
      <c r="R364" t="s">
        <v>802</v>
      </c>
    </row>
    <row r="365" spans="1:18" ht="12.75">
      <c r="A365" s="92" t="s">
        <v>327</v>
      </c>
      <c r="B365" s="109">
        <v>2</v>
      </c>
      <c r="C365" s="26" t="str">
        <f>IF(A365="","",VLOOKUP($A363,IF(LEN(A365)=2,WSB,WSA),VLOOKUP(LEFT(A365,1),Teams,6,FALSE),FALSE))</f>
        <v>Tonbridge</v>
      </c>
      <c r="D365" s="26" t="str">
        <f>IF(A365="","",VLOOKUP($A363,IF(LEN(A365)=2,WSB,WSA),VLOOKUP(LEFT(A365,1),Teams,7,FALSE),FALSE))</f>
        <v>SW</v>
      </c>
      <c r="E365" s="26"/>
      <c r="F365" s="94" t="s">
        <v>32</v>
      </c>
      <c r="G365" s="95">
        <v>3</v>
      </c>
      <c r="H365" s="14"/>
      <c r="I365" s="35">
        <f>IF(OR(F365="",TEXT(F365,"[s].0")-VLOOKUP($A363,WAWstandards,12,FALSE)&gt;0),0,INT(VLOOKUP($A363,WAWstandards,11,FALSE)*(VLOOKUP($A363,WAWstandards,12,FALSE)-TEXT(F365,"[s].0"))^VLOOKUP($A363,WAWstandards,13,FALSE)+0.5))</f>
        <v>430</v>
      </c>
      <c r="J365" s="32">
        <f>IF(F365="","",IF(F365-VLOOKUP($A363,WAWstandards,VLOOKUP(D365,Wage,2,FALSE),FALSE)&gt;0,"","aw"))</f>
      </c>
      <c r="K365" s="39">
        <f t="shared" si="58"/>
      </c>
      <c r="L365" s="39">
        <f t="shared" si="58"/>
      </c>
      <c r="M365" s="39">
        <f t="shared" si="58"/>
      </c>
      <c r="N365" s="39">
        <f t="shared" si="58"/>
        <v>3</v>
      </c>
      <c r="O365" s="39"/>
      <c r="P365" s="35"/>
      <c r="R365" t="s">
        <v>802</v>
      </c>
    </row>
    <row r="366" spans="1:18" ht="12.75">
      <c r="A366" s="92" t="s">
        <v>312</v>
      </c>
      <c r="B366" s="109">
        <v>3</v>
      </c>
      <c r="C366" s="26" t="str">
        <f>IF(A366="","",VLOOKUP($A363,IF(LEN(A366)=2,WSB,WSA),VLOOKUP(LEFT(A366,1),Teams,6,FALSE),FALSE))</f>
        <v>Epsom &amp; Ewell</v>
      </c>
      <c r="D366" s="26" t="str">
        <f>IF(A366="","",VLOOKUP($A363,IF(LEN(A366)=2,WSB,WSA),VLOOKUP(LEFT(A366,1),Teams,7,FALSE),FALSE))</f>
        <v>SW</v>
      </c>
      <c r="E366" s="26"/>
      <c r="F366" s="94" t="s">
        <v>33</v>
      </c>
      <c r="G366" s="95">
        <v>2</v>
      </c>
      <c r="H366" s="14"/>
      <c r="I366" s="35">
        <f>IF(OR(F366="",TEXT(F366,"[s].0")-VLOOKUP($A363,WAWstandards,12,FALSE)&gt;0),0,INT(VLOOKUP($A363,WAWstandards,11,FALSE)*(VLOOKUP($A363,WAWstandards,12,FALSE)-TEXT(F366,"[s].0"))^VLOOKUP($A363,WAWstandards,13,FALSE)+0.5))</f>
        <v>348</v>
      </c>
      <c r="J366" s="32">
        <f>IF(F366="","",IF(F366-VLOOKUP($A363,WAWstandards,VLOOKUP(D366,Wage,2,FALSE),FALSE)&gt;0,"","aw"))</f>
      </c>
      <c r="K366" s="39">
        <f t="shared" si="58"/>
        <v>2</v>
      </c>
      <c r="L366" s="39">
        <f t="shared" si="58"/>
      </c>
      <c r="M366" s="39">
        <f t="shared" si="58"/>
      </c>
      <c r="N366" s="39">
        <f t="shared" si="58"/>
      </c>
      <c r="O366" s="39"/>
      <c r="P366" s="35"/>
      <c r="R366" t="s">
        <v>802</v>
      </c>
    </row>
    <row r="367" spans="1:18" ht="12.75">
      <c r="A367" s="92" t="s">
        <v>320</v>
      </c>
      <c r="B367" s="109">
        <v>4</v>
      </c>
      <c r="C367" s="26" t="str">
        <f>IF(A367="","",VLOOKUP($A363,IF(LEN(A367)=2,WSB,WSA),VLOOKUP(LEFT(A367,1),Teams,6,FALSE),FALSE))</f>
        <v>Team Dorset</v>
      </c>
      <c r="D367" s="26" t="str">
        <f>IF(A367="","",VLOOKUP($A363,IF(LEN(A367)=2,WSB,WSA),VLOOKUP(LEFT(A367,1),Teams,7,FALSE),FALSE))</f>
        <v>SW</v>
      </c>
      <c r="E367" s="26"/>
      <c r="F367" s="94" t="s">
        <v>34</v>
      </c>
      <c r="G367" s="95">
        <v>1</v>
      </c>
      <c r="H367" s="14"/>
      <c r="I367" s="35">
        <f>IF(OR(F367="",TEXT(F367,"[s].0")-VLOOKUP($A363,WAWstandards,12,FALSE)&gt;0),0,INT(VLOOKUP($A363,WAWstandards,11,FALSE)*(VLOOKUP($A363,WAWstandards,12,FALSE)-TEXT(F367,"[s].0"))^VLOOKUP($A363,WAWstandards,13,FALSE)+0.5))</f>
        <v>263</v>
      </c>
      <c r="J367" s="32">
        <f>IF(F367="","",IF(F367-VLOOKUP($A363,WAWstandards,VLOOKUP(D367,Wage,2,FALSE),FALSE)&gt;0,"","aw"))</f>
      </c>
      <c r="K367" s="39">
        <f t="shared" si="58"/>
      </c>
      <c r="L367" s="39">
        <f t="shared" si="58"/>
      </c>
      <c r="M367" s="39">
        <f t="shared" si="58"/>
        <v>1</v>
      </c>
      <c r="N367" s="39">
        <f t="shared" si="58"/>
      </c>
      <c r="O367" s="39">
        <f>10-SUM(K364:N367)</f>
        <v>0</v>
      </c>
      <c r="P367" s="35"/>
      <c r="R367" t="s">
        <v>802</v>
      </c>
    </row>
    <row r="368" spans="3:14" ht="12">
      <c r="C368" s="20" t="s">
        <v>459</v>
      </c>
      <c r="E368" s="20" t="s">
        <v>740</v>
      </c>
      <c r="K368" s="90">
        <f>8-2*COUNTBLANK(Dec!B87:B90)</f>
        <v>8</v>
      </c>
      <c r="L368" s="90">
        <f>8-2*COUNTBLANK(Dec!D87:D90)</f>
        <v>6</v>
      </c>
      <c r="M368" s="90">
        <f>8-2*COUNTBLANK(Dec!F87:F90)</f>
        <v>6</v>
      </c>
      <c r="N368" s="90">
        <f>8-2*COUNTBLANK(Dec!H87:H90)</f>
        <v>8</v>
      </c>
    </row>
    <row r="369" spans="3:14" ht="12">
      <c r="C369" s="20" t="s">
        <v>786</v>
      </c>
      <c r="E369" s="20" t="s">
        <v>741</v>
      </c>
      <c r="K369" s="90">
        <f>SUM(K9:K368)</f>
        <v>169</v>
      </c>
      <c r="L369" s="90">
        <f>SUM(L9:L368)</f>
        <v>219</v>
      </c>
      <c r="M369" s="90">
        <f>SUM(M9:M368)</f>
        <v>116</v>
      </c>
      <c r="N369" s="90">
        <f>SUM(N9:N368)</f>
        <v>205</v>
      </c>
    </row>
    <row r="370" spans="1:8" ht="12">
      <c r="A370" t="s">
        <v>806</v>
      </c>
      <c r="B370">
        <v>1</v>
      </c>
      <c r="C370" t="s">
        <v>406</v>
      </c>
      <c r="D370" t="s">
        <v>992</v>
      </c>
      <c r="E370" t="s">
        <v>463</v>
      </c>
      <c r="F370" t="s">
        <v>106</v>
      </c>
      <c r="H370">
        <v>900</v>
      </c>
    </row>
    <row r="371" spans="1:8" ht="12">
      <c r="A371" t="s">
        <v>808</v>
      </c>
      <c r="B371">
        <v>1</v>
      </c>
      <c r="C371" t="s">
        <v>406</v>
      </c>
      <c r="D371" t="s">
        <v>992</v>
      </c>
      <c r="E371" t="s">
        <v>463</v>
      </c>
      <c r="F371" t="s">
        <v>152</v>
      </c>
      <c r="H371">
        <v>873</v>
      </c>
    </row>
    <row r="372" spans="1:8" ht="12">
      <c r="A372" t="s">
        <v>805</v>
      </c>
      <c r="B372">
        <v>1</v>
      </c>
      <c r="C372" t="s">
        <v>283</v>
      </c>
      <c r="D372" t="s">
        <v>645</v>
      </c>
      <c r="E372" t="s">
        <v>473</v>
      </c>
      <c r="F372" t="s">
        <v>133</v>
      </c>
      <c r="H372">
        <v>858</v>
      </c>
    </row>
    <row r="373" spans="1:8" ht="12">
      <c r="A373" t="s">
        <v>806</v>
      </c>
      <c r="B373">
        <v>2</v>
      </c>
      <c r="C373" t="s">
        <v>379</v>
      </c>
      <c r="D373" t="s">
        <v>947</v>
      </c>
      <c r="E373" t="s">
        <v>600</v>
      </c>
      <c r="F373" t="s">
        <v>107</v>
      </c>
      <c r="H373">
        <v>794</v>
      </c>
    </row>
    <row r="374" spans="1:8" ht="12">
      <c r="A374" t="s">
        <v>800</v>
      </c>
      <c r="B374">
        <v>1</v>
      </c>
      <c r="C374" t="s">
        <v>276</v>
      </c>
      <c r="D374" t="s">
        <v>645</v>
      </c>
      <c r="E374" t="s">
        <v>473</v>
      </c>
      <c r="F374" t="s">
        <v>323</v>
      </c>
      <c r="H374">
        <v>781</v>
      </c>
    </row>
    <row r="375" spans="1:8" ht="12">
      <c r="A375" t="s">
        <v>793</v>
      </c>
      <c r="B375">
        <v>1</v>
      </c>
      <c r="C375" t="s">
        <v>279</v>
      </c>
      <c r="D375" t="s">
        <v>992</v>
      </c>
      <c r="E375" t="s">
        <v>473</v>
      </c>
      <c r="F375" t="s">
        <v>103</v>
      </c>
      <c r="H375">
        <v>777</v>
      </c>
    </row>
    <row r="376" spans="3:8" ht="12">
      <c r="C376" s="20" t="s">
        <v>791</v>
      </c>
      <c r="H376" s="19"/>
    </row>
    <row r="377" spans="1:8" ht="12">
      <c r="A377" t="s">
        <v>810</v>
      </c>
      <c r="B377">
        <v>1</v>
      </c>
      <c r="C377" t="s">
        <v>296</v>
      </c>
      <c r="D377" t="s">
        <v>858</v>
      </c>
      <c r="E377" t="s">
        <v>473</v>
      </c>
      <c r="F377" t="s">
        <v>117</v>
      </c>
      <c r="H377">
        <v>859</v>
      </c>
    </row>
    <row r="378" spans="1:8" ht="12">
      <c r="A378" t="s">
        <v>806</v>
      </c>
      <c r="B378">
        <v>1</v>
      </c>
      <c r="C378" t="s">
        <v>60</v>
      </c>
      <c r="D378" t="s">
        <v>743</v>
      </c>
      <c r="E378" t="s">
        <v>433</v>
      </c>
      <c r="F378" t="s">
        <v>1016</v>
      </c>
      <c r="H378">
        <v>852</v>
      </c>
    </row>
    <row r="379" spans="1:8" ht="12">
      <c r="A379" t="s">
        <v>807</v>
      </c>
      <c r="B379">
        <v>1</v>
      </c>
      <c r="C379" t="s">
        <v>296</v>
      </c>
      <c r="D379" t="s">
        <v>858</v>
      </c>
      <c r="E379" t="s">
        <v>473</v>
      </c>
      <c r="F379" t="s">
        <v>159</v>
      </c>
      <c r="H379">
        <v>823</v>
      </c>
    </row>
    <row r="380" spans="1:8" ht="12">
      <c r="A380" t="s">
        <v>808</v>
      </c>
      <c r="B380">
        <v>1</v>
      </c>
      <c r="C380" t="s">
        <v>296</v>
      </c>
      <c r="D380" t="s">
        <v>858</v>
      </c>
      <c r="E380" t="s">
        <v>473</v>
      </c>
      <c r="F380" t="s">
        <v>1042</v>
      </c>
      <c r="H380">
        <v>813</v>
      </c>
    </row>
    <row r="381" spans="1:8" ht="12">
      <c r="A381" t="s">
        <v>804</v>
      </c>
      <c r="B381">
        <v>1</v>
      </c>
      <c r="C381" t="s">
        <v>396</v>
      </c>
      <c r="D381" t="s">
        <v>947</v>
      </c>
      <c r="E381" t="s">
        <v>600</v>
      </c>
      <c r="F381" t="s">
        <v>1</v>
      </c>
      <c r="H381">
        <v>812</v>
      </c>
    </row>
    <row r="382" spans="1:8" ht="12">
      <c r="A382" t="s">
        <v>806</v>
      </c>
      <c r="B382">
        <v>2</v>
      </c>
      <c r="C382" t="s">
        <v>296</v>
      </c>
      <c r="D382" t="s">
        <v>858</v>
      </c>
      <c r="E382" t="s">
        <v>473</v>
      </c>
      <c r="F382" t="s">
        <v>1005</v>
      </c>
      <c r="H382">
        <v>799</v>
      </c>
    </row>
  </sheetData>
  <sheetProtection sheet="1" selectLockedCells="1"/>
  <mergeCells count="1">
    <mergeCell ref="A1:J1"/>
  </mergeCells>
  <printOptions/>
  <pageMargins left="0.25" right="0.25" top="0.75" bottom="0.75" header="0.3" footer="0.3"/>
  <pageSetup fitToHeight="8" horizontalDpi="300" verticalDpi="300" orientation="portrait" paperSize="9" scale="89"/>
  <rowBreaks count="5" manualBreakCount="5">
    <brk id="62" min="1" max="8" man="1"/>
    <brk id="122" min="1" max="8" man="1"/>
    <brk id="187" min="1" max="8" man="1"/>
    <brk id="252" min="1" max="8" man="1"/>
    <brk id="317" min="1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K54"/>
  <sheetViews>
    <sheetView workbookViewId="0" topLeftCell="A1">
      <selection activeCell="A3" sqref="A3:G18"/>
    </sheetView>
  </sheetViews>
  <sheetFormatPr defaultColWidth="8.8515625" defaultRowHeight="12.75"/>
  <cols>
    <col min="1" max="1" width="2.00390625" style="0" customWidth="1"/>
    <col min="2" max="2" width="17.7109375" style="0" customWidth="1"/>
    <col min="3" max="3" width="4.28125" style="0" customWidth="1"/>
    <col min="4" max="4" width="13.8515625" style="0" customWidth="1"/>
    <col min="5" max="5" width="6.140625" style="0" customWidth="1"/>
    <col min="6" max="6" width="2.00390625" style="0" customWidth="1"/>
  </cols>
  <sheetData>
    <row r="1" ht="15">
      <c r="A1" s="1" t="str">
        <f>Dec!B2</f>
        <v>Sweatshop Southern Athletics League: Division 2 South - Round 3 - Kingston - 21 June 2014</v>
      </c>
    </row>
    <row r="2" spans="1:11" ht="12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19" spans="1:11" ht="1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</sheetData>
  <sheetProtection/>
  <printOptions/>
  <pageMargins left="0.35433070866141736" right="0.15748031496062992" top="0.984251968503937" bottom="0.984251968503937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84"/>
  <sheetViews>
    <sheetView workbookViewId="0" topLeftCell="A1">
      <selection activeCell="C348" sqref="C348"/>
    </sheetView>
  </sheetViews>
  <sheetFormatPr defaultColWidth="8.8515625" defaultRowHeight="12.75"/>
  <cols>
    <col min="1" max="1" width="5.421875" style="0" customWidth="1"/>
    <col min="2" max="2" width="5.00390625" style="0" customWidth="1"/>
    <col min="3" max="3" width="19.7109375" style="0" customWidth="1"/>
    <col min="4" max="4" width="20.00390625" style="0" customWidth="1"/>
    <col min="5" max="5" width="4.421875" style="0" customWidth="1"/>
    <col min="6" max="21" width="4.7109375" style="0" customWidth="1"/>
    <col min="22" max="22" width="7.28125" style="0" customWidth="1"/>
  </cols>
  <sheetData>
    <row r="1" ht="12">
      <c r="A1" t="s">
        <v>852</v>
      </c>
    </row>
    <row r="2" spans="1:22" ht="12">
      <c r="A2" s="176" t="s">
        <v>812</v>
      </c>
      <c r="B2" s="176"/>
      <c r="C2" s="176"/>
      <c r="D2" s="223" t="str">
        <f>"Date: "&amp;TEXT(Dec!D$3,"dd mmmm yyyy")</f>
        <v>Date: 21 June 2014</v>
      </c>
      <c r="E2" s="223"/>
      <c r="F2" s="223" t="s">
        <v>813</v>
      </c>
      <c r="G2" s="223"/>
      <c r="H2" s="223"/>
      <c r="I2" s="223"/>
      <c r="J2" s="223" t="str">
        <f>"Venue: "&amp;Dec!$B$3</f>
        <v>Venue: Kingston</v>
      </c>
      <c r="K2" s="223"/>
      <c r="L2" s="223"/>
      <c r="M2" s="223"/>
      <c r="N2" s="223"/>
      <c r="O2" s="223" t="s">
        <v>856</v>
      </c>
      <c r="P2" s="223"/>
      <c r="Q2" s="223"/>
      <c r="R2" s="223"/>
      <c r="S2" s="223"/>
      <c r="T2" s="223"/>
      <c r="U2" s="223"/>
      <c r="V2" s="223"/>
    </row>
    <row r="3" spans="1:22" ht="12.75" thickBot="1">
      <c r="A3" s="223" t="str">
        <f>"Event: Women's Hammer - "&amp;Dec!B5</f>
        <v>Event: Women's Hammer - Epsom &amp; Ewell</v>
      </c>
      <c r="B3" s="223"/>
      <c r="C3" s="223"/>
      <c r="D3" s="223"/>
      <c r="E3" s="223"/>
      <c r="F3" s="223" t="s">
        <v>861</v>
      </c>
      <c r="G3" s="223"/>
      <c r="H3" s="223"/>
      <c r="I3" s="223"/>
      <c r="J3" s="223" t="s">
        <v>814</v>
      </c>
      <c r="K3" s="223"/>
      <c r="L3" s="223"/>
      <c r="M3" s="223"/>
      <c r="N3" s="223"/>
      <c r="O3" s="223" t="s">
        <v>815</v>
      </c>
      <c r="P3" s="223"/>
      <c r="Q3" s="223"/>
      <c r="R3" s="223"/>
      <c r="S3" s="223"/>
      <c r="T3" s="223"/>
      <c r="U3" s="223"/>
      <c r="V3" s="223"/>
    </row>
    <row r="4" spans="1:22" ht="33.75" customHeight="1">
      <c r="A4" s="215" t="s">
        <v>816</v>
      </c>
      <c r="B4" s="217" t="s">
        <v>817</v>
      </c>
      <c r="C4" s="219" t="s">
        <v>862</v>
      </c>
      <c r="D4" s="220"/>
      <c r="E4" s="191" t="s">
        <v>818</v>
      </c>
      <c r="F4" s="191"/>
      <c r="G4" s="191" t="s">
        <v>819</v>
      </c>
      <c r="H4" s="191"/>
      <c r="I4" s="191" t="s">
        <v>820</v>
      </c>
      <c r="J4" s="191"/>
      <c r="K4" s="208" t="s">
        <v>821</v>
      </c>
      <c r="L4" s="208"/>
      <c r="M4" s="203" t="s">
        <v>822</v>
      </c>
      <c r="N4" s="208" t="s">
        <v>823</v>
      </c>
      <c r="O4" s="208"/>
      <c r="P4" s="208" t="s">
        <v>824</v>
      </c>
      <c r="Q4" s="208"/>
      <c r="R4" s="208" t="s">
        <v>825</v>
      </c>
      <c r="S4" s="211"/>
      <c r="T4" s="213" t="s">
        <v>826</v>
      </c>
      <c r="U4" s="214"/>
      <c r="V4" s="205" t="s">
        <v>827</v>
      </c>
    </row>
    <row r="5" spans="1:22" ht="24" customHeight="1">
      <c r="A5" s="216"/>
      <c r="B5" s="218"/>
      <c r="C5" s="221"/>
      <c r="D5" s="222"/>
      <c r="E5" s="207" t="s">
        <v>828</v>
      </c>
      <c r="F5" s="207"/>
      <c r="G5" s="207" t="s">
        <v>828</v>
      </c>
      <c r="H5" s="207"/>
      <c r="I5" s="207" t="s">
        <v>828</v>
      </c>
      <c r="J5" s="207"/>
      <c r="K5" s="207" t="s">
        <v>828</v>
      </c>
      <c r="L5" s="207"/>
      <c r="M5" s="204"/>
      <c r="N5" s="207" t="s">
        <v>828</v>
      </c>
      <c r="O5" s="207"/>
      <c r="P5" s="207" t="s">
        <v>828</v>
      </c>
      <c r="Q5" s="207"/>
      <c r="R5" s="207" t="s">
        <v>828</v>
      </c>
      <c r="S5" s="212"/>
      <c r="T5" s="209" t="s">
        <v>828</v>
      </c>
      <c r="U5" s="210"/>
      <c r="V5" s="206"/>
    </row>
    <row r="6" spans="1:22" ht="18.75" customHeight="1">
      <c r="A6" s="49">
        <v>1</v>
      </c>
      <c r="B6" s="50" t="str">
        <f>IF(VALUE(MID(Dec!$B$1,2,1))="","",VLOOKUP(VALUE(MID(Dec!$B$1,2,1)),WHammer,2))</f>
        <v>E</v>
      </c>
      <c r="C6" s="51" t="str">
        <f>IF(B6="","",IF(LEN(B6)=2,VLOOKUP(A1,WSB,VLOOKUP(LEFT(B6,1),Teams,6,FALSE),FALSE),VLOOKUP(A1,WSA,VLOOKUP(B6,Teams,6,FALSE),FALSE)))</f>
        <v>Wendy Dunsford</v>
      </c>
      <c r="D6" s="52" t="str">
        <f>IF(B6="","",VLOOKUP(LEFT(B6,1),Teams,2,FALSE))</f>
        <v>Epsom &amp; Ewell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53"/>
      <c r="T6" s="54"/>
      <c r="U6" s="55"/>
      <c r="V6" s="56"/>
    </row>
    <row r="7" spans="1:22" ht="18.75" customHeight="1">
      <c r="A7" s="49">
        <v>2</v>
      </c>
      <c r="B7" s="50" t="str">
        <f>IF(VALUE(MID(Dec!$B$1,2,1))="","",VLOOKUP(VALUE(MID(Dec!$B$1,2,1)),WHammer,3))</f>
        <v>T</v>
      </c>
      <c r="C7" s="51" t="str">
        <f>IF(B7="","",IF(LEN(B7)=2,VLOOKUP(A1,WSB,VLOOKUP(LEFT(B7,1),Teams,6,FALSE),FALSE),VLOOKUP(A1,WSA,VLOOKUP(B7,Teams,6,FALSE),FALSE)))</f>
        <v>Chelsey Eyers</v>
      </c>
      <c r="D7" s="52" t="str">
        <f aca="true" t="shared" si="0" ref="D7:D13">IF(B7="","",VLOOKUP(LEFT(B7,1),Teams,2,FALSE))</f>
        <v>Tonbridge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53"/>
      <c r="T7" s="54"/>
      <c r="U7" s="55"/>
      <c r="V7" s="56"/>
    </row>
    <row r="8" spans="1:22" ht="18.75" customHeight="1">
      <c r="A8" s="49">
        <v>3</v>
      </c>
      <c r="B8" s="50" t="str">
        <f>IF(VALUE(MID(Dec!$B$1,2,1))="","",VLOOKUP(VALUE(MID(Dec!$B$1,2,1)),WHammer,4))</f>
        <v>R</v>
      </c>
      <c r="C8" s="51" t="str">
        <f>IF(B8="","",IF(LEN(B8)=2,VLOOKUP(A1,WSB,VLOOKUP(LEFT(B8,1),Teams,6,FALSE),FALSE),VLOOKUP(A1,WSA,VLOOKUP(B8,Teams,6,FALSE),FALSE)))</f>
        <v>Hanna Westhenry</v>
      </c>
      <c r="D8" s="52" t="str">
        <f t="shared" si="0"/>
        <v>Team Dorset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53"/>
      <c r="T8" s="54"/>
      <c r="U8" s="55"/>
      <c r="V8" s="56"/>
    </row>
    <row r="9" spans="1:22" ht="18.75" customHeight="1">
      <c r="A9" s="49">
        <v>4</v>
      </c>
      <c r="B9" s="50" t="str">
        <f>IF(VALUE(MID(Dec!$B$1,2,1))="","",VLOOKUP(VALUE(MID(Dec!$B$1,2,1)),WHammer,5))</f>
        <v>Y</v>
      </c>
      <c r="C9" s="51" t="str">
        <f>IF(B9="","",IF(LEN(B9)=2,VLOOKUP(A1,WSB,VLOOKUP(LEFT(B9,1),Teams,6,FALSE),FALSE),VLOOKUP(A1,WSA,VLOOKUP(B9,Teams,6,FALSE),FALSE)))</f>
        <v>Rebecca Baines</v>
      </c>
      <c r="D9" s="52" t="str">
        <f t="shared" si="0"/>
        <v>Crawley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53"/>
      <c r="T9" s="54"/>
      <c r="U9" s="55"/>
      <c r="V9" s="56"/>
    </row>
    <row r="10" spans="1:22" ht="18.75" customHeight="1">
      <c r="A10" s="49">
        <v>5</v>
      </c>
      <c r="B10" s="50" t="str">
        <f>IF(VALUE(MID(Dec!$B$1,2,1))="","",VLOOKUP(VALUE(MID(Dec!$B$1,2,1)),WHammer,6))</f>
        <v>EE</v>
      </c>
      <c r="C10" s="51" t="str">
        <f>IF(B10="","",IF(LEN(B10)=2,VLOOKUP(A1,WSB,VLOOKUP(LEFT(B10,1),Teams,6,FALSE),FALSE),VLOOKUP(A1,WSA,VLOOKUP(B10,Teams,6,FALSE),FALSE)))</f>
        <v>Jordyn Robinson</v>
      </c>
      <c r="D10" s="52" t="str">
        <f t="shared" si="0"/>
        <v>Epsom &amp; Ewell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53"/>
      <c r="T10" s="54"/>
      <c r="U10" s="55"/>
      <c r="V10" s="56"/>
    </row>
    <row r="11" spans="1:22" ht="18.75" customHeight="1">
      <c r="A11" s="49">
        <v>6</v>
      </c>
      <c r="B11" s="50" t="str">
        <f>IF(VALUE(MID(Dec!$B$1,2,1))="","",VLOOKUP(VALUE(MID(Dec!$B$1,2,1)),WHammer,7))</f>
        <v>TT</v>
      </c>
      <c r="C11" s="51" t="str">
        <f>IF(B11="","",IF(LEN(B11)=2,VLOOKUP(A1,WSB,VLOOKUP(LEFT(B11,1),Teams,6,FALSE),FALSE),VLOOKUP(A1,WSA,VLOOKUP(B11,Teams,6,FALSE),FALSE)))</f>
        <v>Rachel Laqeretabua</v>
      </c>
      <c r="D11" s="52" t="str">
        <f t="shared" si="0"/>
        <v>Tonbridge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53"/>
      <c r="T11" s="54"/>
      <c r="U11" s="55"/>
      <c r="V11" s="56"/>
    </row>
    <row r="12" spans="1:22" ht="18.75" customHeight="1">
      <c r="A12" s="49">
        <v>7</v>
      </c>
      <c r="B12" s="50" t="str">
        <f>IF(VALUE(MID(Dec!$B$1,2,1))="","",VLOOKUP(VALUE(MID(Dec!$B$1,2,1)),WHammer,8))</f>
        <v>RR</v>
      </c>
      <c r="C12" s="51" t="str">
        <f>IF(B12="","",IF(LEN(B12)=2,VLOOKUP(A1,WSB,VLOOKUP(LEFT(B12,1),Teams,6,FALSE),FALSE),VLOOKUP(A1,WSA,VLOOKUP(B12,Teams,6,FALSE),FALSE)))</f>
        <v>Emma Jones</v>
      </c>
      <c r="D12" s="52" t="str">
        <f t="shared" si="0"/>
        <v>Team Dorset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53"/>
      <c r="T12" s="54"/>
      <c r="U12" s="55"/>
      <c r="V12" s="56"/>
    </row>
    <row r="13" spans="1:22" ht="18.75" customHeight="1">
      <c r="A13" s="49">
        <v>8</v>
      </c>
      <c r="B13" s="50" t="str">
        <f>IF(VALUE(MID(Dec!$B$1,2,1))="","",VLOOKUP(VALUE(MID(Dec!$B$1,2,1)),WHammer,9))</f>
        <v>YY</v>
      </c>
      <c r="C13" s="51" t="str">
        <f>IF(B13="","",IF(LEN(B13)=2,VLOOKUP(A1,WSB,VLOOKUP(LEFT(B13,1),Teams,6,FALSE),FALSE),VLOOKUP(A1,WSA,VLOOKUP(B13,Teams,6,FALSE),FALSE)))</f>
        <v>Rebecca Healey</v>
      </c>
      <c r="D13" s="52" t="str">
        <f t="shared" si="0"/>
        <v>Crawley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53"/>
      <c r="T13" s="54"/>
      <c r="U13" s="55"/>
      <c r="V13" s="56"/>
    </row>
    <row r="14" spans="1:22" ht="18.75" customHeight="1">
      <c r="A14" s="49">
        <v>9</v>
      </c>
      <c r="B14" s="50"/>
      <c r="C14" s="51"/>
      <c r="D14" s="52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3"/>
      <c r="T14" s="54"/>
      <c r="U14" s="55"/>
      <c r="V14" s="56"/>
    </row>
    <row r="15" spans="1:22" ht="18.75" customHeight="1">
      <c r="A15" s="49">
        <v>10</v>
      </c>
      <c r="B15" s="50"/>
      <c r="C15" s="51"/>
      <c r="D15" s="5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53"/>
      <c r="T15" s="54"/>
      <c r="U15" s="55"/>
      <c r="V15" s="56"/>
    </row>
    <row r="16" spans="1:22" ht="18.75" customHeight="1">
      <c r="A16" s="49">
        <v>11</v>
      </c>
      <c r="B16" s="50"/>
      <c r="C16" s="51"/>
      <c r="D16" s="5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53"/>
      <c r="T16" s="54"/>
      <c r="U16" s="55"/>
      <c r="V16" s="56"/>
    </row>
    <row r="17" spans="1:22" ht="18.75" customHeight="1">
      <c r="A17" s="49">
        <v>12</v>
      </c>
      <c r="B17" s="50"/>
      <c r="C17" s="51"/>
      <c r="D17" s="5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53"/>
      <c r="T17" s="54"/>
      <c r="U17" s="55"/>
      <c r="V17" s="56"/>
    </row>
    <row r="18" spans="1:22" ht="18.75" customHeight="1">
      <c r="A18" s="49">
        <v>13</v>
      </c>
      <c r="B18" s="50"/>
      <c r="C18" s="51"/>
      <c r="D18" s="52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53"/>
      <c r="T18" s="54"/>
      <c r="U18" s="55"/>
      <c r="V18" s="56"/>
    </row>
    <row r="19" spans="1:22" ht="18.75" customHeight="1">
      <c r="A19" s="49">
        <v>14</v>
      </c>
      <c r="B19" s="50"/>
      <c r="C19" s="51"/>
      <c r="D19" s="52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53"/>
      <c r="T19" s="54"/>
      <c r="U19" s="55"/>
      <c r="V19" s="56"/>
    </row>
    <row r="20" spans="1:22" ht="18.75" customHeight="1">
      <c r="A20" s="49">
        <v>15</v>
      </c>
      <c r="B20" s="50"/>
      <c r="C20" s="51"/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53"/>
      <c r="T20" s="54"/>
      <c r="U20" s="55"/>
      <c r="V20" s="56"/>
    </row>
    <row r="21" spans="1:22" ht="18.75" customHeight="1" thickBot="1">
      <c r="A21" s="57">
        <v>16</v>
      </c>
      <c r="B21" s="58"/>
      <c r="C21" s="51"/>
      <c r="D21" s="5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/>
      <c r="U21" s="62"/>
      <c r="V21" s="63"/>
    </row>
    <row r="22" ht="5.25" customHeight="1" thickBot="1"/>
    <row r="23" spans="1:22" ht="12">
      <c r="A23" s="192" t="s">
        <v>829</v>
      </c>
      <c r="B23" s="193"/>
      <c r="C23" s="193"/>
      <c r="D23" s="193"/>
      <c r="E23" s="193"/>
      <c r="F23" s="193"/>
      <c r="G23" s="194"/>
      <c r="H23" s="64" t="s">
        <v>830</v>
      </c>
      <c r="I23" s="195" t="s">
        <v>829</v>
      </c>
      <c r="J23" s="193"/>
      <c r="K23" s="193"/>
      <c r="L23" s="193"/>
      <c r="M23" s="193"/>
      <c r="N23" s="193"/>
      <c r="O23" s="193"/>
      <c r="P23" s="193"/>
      <c r="Q23" s="193"/>
      <c r="R23" s="193"/>
      <c r="S23" s="196"/>
      <c r="T23" s="197" t="s">
        <v>831</v>
      </c>
      <c r="U23" s="198"/>
      <c r="V23" s="199"/>
    </row>
    <row r="24" spans="1:22" ht="12">
      <c r="A24" s="54" t="s">
        <v>832</v>
      </c>
      <c r="B24" s="65" t="s">
        <v>833</v>
      </c>
      <c r="C24" s="48" t="s">
        <v>970</v>
      </c>
      <c r="D24" s="48" t="s">
        <v>971</v>
      </c>
      <c r="E24" s="200" t="s">
        <v>828</v>
      </c>
      <c r="F24" s="200"/>
      <c r="G24" s="65" t="s">
        <v>834</v>
      </c>
      <c r="H24" s="200" t="s">
        <v>832</v>
      </c>
      <c r="I24" s="200"/>
      <c r="J24" s="65" t="s">
        <v>833</v>
      </c>
      <c r="K24" s="183" t="s">
        <v>970</v>
      </c>
      <c r="L24" s="183"/>
      <c r="M24" s="183"/>
      <c r="N24" s="183" t="s">
        <v>971</v>
      </c>
      <c r="O24" s="183"/>
      <c r="P24" s="183"/>
      <c r="Q24" s="201" t="s">
        <v>828</v>
      </c>
      <c r="R24" s="202"/>
      <c r="S24" s="66" t="s">
        <v>834</v>
      </c>
      <c r="T24" s="177"/>
      <c r="U24" s="178"/>
      <c r="V24" s="179"/>
    </row>
    <row r="25" spans="1:22" ht="18.75" customHeight="1">
      <c r="A25" s="67" t="s">
        <v>835</v>
      </c>
      <c r="B25" s="46"/>
      <c r="C25" s="46"/>
      <c r="D25" s="46"/>
      <c r="E25" s="46"/>
      <c r="F25" s="46"/>
      <c r="G25" s="46"/>
      <c r="H25" s="183" t="s">
        <v>836</v>
      </c>
      <c r="I25" s="183"/>
      <c r="J25" s="46"/>
      <c r="K25" s="184"/>
      <c r="L25" s="185"/>
      <c r="M25" s="186"/>
      <c r="N25" s="184"/>
      <c r="O25" s="185"/>
      <c r="P25" s="186"/>
      <c r="Q25" s="46"/>
      <c r="R25" s="46"/>
      <c r="S25" s="53"/>
      <c r="T25" s="177"/>
      <c r="U25" s="178"/>
      <c r="V25" s="179"/>
    </row>
    <row r="26" spans="1:22" ht="18.75" customHeight="1">
      <c r="A26" s="67" t="s">
        <v>837</v>
      </c>
      <c r="B26" s="46"/>
      <c r="C26" s="46"/>
      <c r="D26" s="46"/>
      <c r="E26" s="46"/>
      <c r="F26" s="46"/>
      <c r="G26" s="46"/>
      <c r="H26" s="183" t="s">
        <v>838</v>
      </c>
      <c r="I26" s="183"/>
      <c r="J26" s="46"/>
      <c r="K26" s="184"/>
      <c r="L26" s="185"/>
      <c r="M26" s="186"/>
      <c r="N26" s="184"/>
      <c r="O26" s="185"/>
      <c r="P26" s="186"/>
      <c r="Q26" s="46"/>
      <c r="R26" s="46"/>
      <c r="S26" s="53"/>
      <c r="T26" s="177"/>
      <c r="U26" s="178"/>
      <c r="V26" s="179"/>
    </row>
    <row r="27" spans="1:22" ht="18.75" customHeight="1">
      <c r="A27" s="67" t="s">
        <v>839</v>
      </c>
      <c r="B27" s="46"/>
      <c r="C27" s="46"/>
      <c r="D27" s="46"/>
      <c r="E27" s="46"/>
      <c r="F27" s="46"/>
      <c r="G27" s="46"/>
      <c r="H27" s="183" t="s">
        <v>840</v>
      </c>
      <c r="I27" s="183"/>
      <c r="J27" s="46"/>
      <c r="K27" s="184"/>
      <c r="L27" s="185"/>
      <c r="M27" s="186"/>
      <c r="N27" s="184"/>
      <c r="O27" s="185"/>
      <c r="P27" s="186"/>
      <c r="Q27" s="46"/>
      <c r="R27" s="46"/>
      <c r="S27" s="53"/>
      <c r="T27" s="177"/>
      <c r="U27" s="178"/>
      <c r="V27" s="179"/>
    </row>
    <row r="28" spans="1:22" ht="18.75" customHeight="1">
      <c r="A28" s="67" t="s">
        <v>841</v>
      </c>
      <c r="B28" s="46"/>
      <c r="C28" s="46"/>
      <c r="D28" s="46"/>
      <c r="E28" s="46"/>
      <c r="F28" s="46"/>
      <c r="G28" s="46"/>
      <c r="H28" s="183" t="s">
        <v>842</v>
      </c>
      <c r="I28" s="183"/>
      <c r="J28" s="46"/>
      <c r="K28" s="184"/>
      <c r="L28" s="185"/>
      <c r="M28" s="186"/>
      <c r="N28" s="184"/>
      <c r="O28" s="185"/>
      <c r="P28" s="186"/>
      <c r="Q28" s="46"/>
      <c r="R28" s="46"/>
      <c r="S28" s="53"/>
      <c r="T28" s="177"/>
      <c r="U28" s="178"/>
      <c r="V28" s="179"/>
    </row>
    <row r="29" spans="1:22" ht="18.75" customHeight="1">
      <c r="A29" s="67" t="s">
        <v>843</v>
      </c>
      <c r="B29" s="46"/>
      <c r="C29" s="46"/>
      <c r="D29" s="46"/>
      <c r="E29" s="46"/>
      <c r="F29" s="46"/>
      <c r="G29" s="46"/>
      <c r="H29" s="183" t="s">
        <v>844</v>
      </c>
      <c r="I29" s="183"/>
      <c r="J29" s="46"/>
      <c r="K29" s="184"/>
      <c r="L29" s="185"/>
      <c r="M29" s="186"/>
      <c r="N29" s="184"/>
      <c r="O29" s="185"/>
      <c r="P29" s="186"/>
      <c r="Q29" s="46"/>
      <c r="R29" s="46"/>
      <c r="S29" s="53"/>
      <c r="T29" s="177"/>
      <c r="U29" s="178"/>
      <c r="V29" s="179"/>
    </row>
    <row r="30" spans="1:22" ht="18.75" customHeight="1">
      <c r="A30" s="67" t="s">
        <v>845</v>
      </c>
      <c r="B30" s="46"/>
      <c r="C30" s="46"/>
      <c r="D30" s="46"/>
      <c r="E30" s="46"/>
      <c r="F30" s="46"/>
      <c r="G30" s="46"/>
      <c r="H30" s="183" t="s">
        <v>846</v>
      </c>
      <c r="I30" s="183"/>
      <c r="J30" s="46"/>
      <c r="K30" s="184"/>
      <c r="L30" s="185"/>
      <c r="M30" s="186"/>
      <c r="N30" s="184"/>
      <c r="O30" s="185"/>
      <c r="P30" s="186"/>
      <c r="Q30" s="46"/>
      <c r="R30" s="46"/>
      <c r="S30" s="53"/>
      <c r="T30" s="177" t="s">
        <v>847</v>
      </c>
      <c r="U30" s="178"/>
      <c r="V30" s="179"/>
    </row>
    <row r="31" spans="1:22" ht="18.75" customHeight="1">
      <c r="A31" s="67" t="s">
        <v>848</v>
      </c>
      <c r="B31" s="46"/>
      <c r="C31" s="46"/>
      <c r="D31" s="46"/>
      <c r="E31" s="46"/>
      <c r="F31" s="46"/>
      <c r="G31" s="46"/>
      <c r="H31" s="183" t="s">
        <v>849</v>
      </c>
      <c r="I31" s="183"/>
      <c r="J31" s="46"/>
      <c r="K31" s="184"/>
      <c r="L31" s="185"/>
      <c r="M31" s="186"/>
      <c r="N31" s="184"/>
      <c r="O31" s="185"/>
      <c r="P31" s="186"/>
      <c r="Q31" s="46"/>
      <c r="R31" s="46"/>
      <c r="S31" s="53"/>
      <c r="T31" s="177"/>
      <c r="U31" s="178"/>
      <c r="V31" s="179"/>
    </row>
    <row r="32" spans="1:22" ht="18.75" customHeight="1" thickBot="1">
      <c r="A32" s="68" t="s">
        <v>850</v>
      </c>
      <c r="B32" s="59"/>
      <c r="C32" s="59"/>
      <c r="D32" s="59"/>
      <c r="E32" s="59"/>
      <c r="F32" s="59"/>
      <c r="G32" s="59"/>
      <c r="H32" s="187" t="s">
        <v>851</v>
      </c>
      <c r="I32" s="187"/>
      <c r="J32" s="59"/>
      <c r="K32" s="188"/>
      <c r="L32" s="189"/>
      <c r="M32" s="190"/>
      <c r="N32" s="188"/>
      <c r="O32" s="189"/>
      <c r="P32" s="190"/>
      <c r="Q32" s="59"/>
      <c r="R32" s="59"/>
      <c r="S32" s="60"/>
      <c r="T32" s="180"/>
      <c r="U32" s="181"/>
      <c r="V32" s="182"/>
    </row>
    <row r="33" ht="12">
      <c r="A33" t="s">
        <v>988</v>
      </c>
    </row>
    <row r="34" spans="1:22" ht="12">
      <c r="A34" s="176" t="s">
        <v>812</v>
      </c>
      <c r="B34" s="176"/>
      <c r="C34" s="176"/>
      <c r="D34" s="223" t="str">
        <f>"Date: "&amp;TEXT(Dec!D$3,"dd mmmm yyyy")</f>
        <v>Date: 21 June 2014</v>
      </c>
      <c r="E34" s="223"/>
      <c r="F34" s="223" t="s">
        <v>813</v>
      </c>
      <c r="G34" s="223"/>
      <c r="H34" s="223"/>
      <c r="I34" s="223"/>
      <c r="J34" s="223" t="str">
        <f>"Venue: "&amp;Dec!$B$3</f>
        <v>Venue: Kingston</v>
      </c>
      <c r="K34" s="223"/>
      <c r="L34" s="223"/>
      <c r="M34" s="223"/>
      <c r="N34" s="223"/>
      <c r="O34" s="223" t="s">
        <v>856</v>
      </c>
      <c r="P34" s="223"/>
      <c r="Q34" s="223"/>
      <c r="R34" s="223"/>
      <c r="S34" s="223"/>
      <c r="T34" s="223"/>
      <c r="U34" s="223"/>
      <c r="V34" s="223"/>
    </row>
    <row r="35" spans="1:22" ht="12.75" thickBot="1">
      <c r="A35" s="223" t="str">
        <f>"Event: Men's Shot - "&amp;Dec!B6</f>
        <v>Event: Men's Shot - Crawley</v>
      </c>
      <c r="B35" s="223"/>
      <c r="C35" s="223"/>
      <c r="D35" s="223"/>
      <c r="E35" s="223"/>
      <c r="F35" s="223" t="s">
        <v>861</v>
      </c>
      <c r="G35" s="223"/>
      <c r="H35" s="223"/>
      <c r="I35" s="223"/>
      <c r="J35" s="223" t="s">
        <v>814</v>
      </c>
      <c r="K35" s="223"/>
      <c r="L35" s="223"/>
      <c r="M35" s="223"/>
      <c r="N35" s="223"/>
      <c r="O35" s="223" t="s">
        <v>815</v>
      </c>
      <c r="P35" s="223"/>
      <c r="Q35" s="223"/>
      <c r="R35" s="223"/>
      <c r="S35" s="223"/>
      <c r="T35" s="223"/>
      <c r="U35" s="223"/>
      <c r="V35" s="223"/>
    </row>
    <row r="36" spans="1:22" ht="33.75" customHeight="1">
      <c r="A36" s="215" t="s">
        <v>816</v>
      </c>
      <c r="B36" s="217" t="s">
        <v>817</v>
      </c>
      <c r="C36" s="219" t="s">
        <v>862</v>
      </c>
      <c r="D36" s="220"/>
      <c r="E36" s="191" t="s">
        <v>818</v>
      </c>
      <c r="F36" s="191"/>
      <c r="G36" s="191" t="s">
        <v>819</v>
      </c>
      <c r="H36" s="191"/>
      <c r="I36" s="191" t="s">
        <v>820</v>
      </c>
      <c r="J36" s="191"/>
      <c r="K36" s="208" t="s">
        <v>821</v>
      </c>
      <c r="L36" s="208"/>
      <c r="M36" s="203" t="s">
        <v>822</v>
      </c>
      <c r="N36" s="208" t="s">
        <v>823</v>
      </c>
      <c r="O36" s="208"/>
      <c r="P36" s="208" t="s">
        <v>824</v>
      </c>
      <c r="Q36" s="208"/>
      <c r="R36" s="208" t="s">
        <v>825</v>
      </c>
      <c r="S36" s="211"/>
      <c r="T36" s="213" t="s">
        <v>826</v>
      </c>
      <c r="U36" s="214"/>
      <c r="V36" s="205" t="s">
        <v>827</v>
      </c>
    </row>
    <row r="37" spans="1:22" ht="24" customHeight="1">
      <c r="A37" s="216"/>
      <c r="B37" s="218"/>
      <c r="C37" s="221"/>
      <c r="D37" s="222"/>
      <c r="E37" s="207" t="s">
        <v>828</v>
      </c>
      <c r="F37" s="207"/>
      <c r="G37" s="207" t="s">
        <v>828</v>
      </c>
      <c r="H37" s="207"/>
      <c r="I37" s="207" t="s">
        <v>828</v>
      </c>
      <c r="J37" s="207"/>
      <c r="K37" s="207" t="s">
        <v>828</v>
      </c>
      <c r="L37" s="207"/>
      <c r="M37" s="204"/>
      <c r="N37" s="207" t="s">
        <v>828</v>
      </c>
      <c r="O37" s="207"/>
      <c r="P37" s="207" t="s">
        <v>828</v>
      </c>
      <c r="Q37" s="207"/>
      <c r="R37" s="207" t="s">
        <v>828</v>
      </c>
      <c r="S37" s="212"/>
      <c r="T37" s="209" t="s">
        <v>828</v>
      </c>
      <c r="U37" s="210"/>
      <c r="V37" s="206"/>
    </row>
    <row r="38" spans="1:22" ht="18.75" customHeight="1">
      <c r="A38" s="49">
        <v>1</v>
      </c>
      <c r="B38" s="50" t="str">
        <f>IF(VALUE(MID(Dec!$B$1,2,1))="","",VLOOKUP(VALUE(MID(Dec!$B$1,2,1)),MShot,2))</f>
        <v>Y</v>
      </c>
      <c r="C38" s="51" t="str">
        <f>IF(B38="","",IF(LEN(B38)=2,VLOOKUP(A33,MSB,VLOOKUP(LEFT(B38,1),Teams,6,FALSE),FALSE),VLOOKUP(A33,MSA,VLOOKUP(B38,Teams,6,FALSE),FALSE)))</f>
        <v>Richard Reeks</v>
      </c>
      <c r="D38" s="52" t="str">
        <f aca="true" t="shared" si="1" ref="D38:D45">IF(B38="","",VLOOKUP(LEFT(B38,1),Teams,2,FALSE))</f>
        <v>Crawley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3"/>
      <c r="T38" s="54"/>
      <c r="U38" s="55"/>
      <c r="V38" s="56"/>
    </row>
    <row r="39" spans="1:22" ht="18.75" customHeight="1">
      <c r="A39" s="49">
        <v>2</v>
      </c>
      <c r="B39" s="50" t="str">
        <f>IF(VALUE(MID(Dec!$B$1,2,1))="","",VLOOKUP(VALUE(MID(Dec!$B$1,2,1)),MShot,3))</f>
        <v>R</v>
      </c>
      <c r="C39" s="51" t="str">
        <f>IF(B39="","",IF(LEN(B39)=2,VLOOKUP(A33,MSB,VLOOKUP(LEFT(B39,1),Teams,6,FALSE),FALSE),VLOOKUP(A33,MSA,VLOOKUP(B39,Teams,6,FALSE),FALSE)))</f>
        <v>Jack Snook</v>
      </c>
      <c r="D39" s="52" t="str">
        <f t="shared" si="1"/>
        <v>Team Dorset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3"/>
      <c r="T39" s="54"/>
      <c r="U39" s="55"/>
      <c r="V39" s="56"/>
    </row>
    <row r="40" spans="1:22" ht="18.75" customHeight="1">
      <c r="A40" s="49">
        <v>3</v>
      </c>
      <c r="B40" s="50" t="str">
        <f>IF(VALUE(MID(Dec!$B$1,2,1))="","",VLOOKUP(VALUE(MID(Dec!$B$1,2,1)),MShot,4))</f>
        <v>E</v>
      </c>
      <c r="C40" s="51" t="str">
        <f>IF(B40="","",IF(LEN(B40)=2,VLOOKUP(A33,MSB,VLOOKUP(LEFT(B40,1),Teams,6,FALSE),FALSE),VLOOKUP(A33,MSA,VLOOKUP(B40,Teams,6,FALSE),FALSE)))</f>
        <v>Ian Frankish</v>
      </c>
      <c r="D40" s="52" t="str">
        <f t="shared" si="1"/>
        <v>Epsom &amp; Ewell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3"/>
      <c r="T40" s="54"/>
      <c r="U40" s="55"/>
      <c r="V40" s="56"/>
    </row>
    <row r="41" spans="1:22" ht="18.75" customHeight="1">
      <c r="A41" s="49">
        <v>4</v>
      </c>
      <c r="B41" s="50" t="str">
        <f>IF(VALUE(MID(Dec!$B$1,2,1))="","",VLOOKUP(VALUE(MID(Dec!$B$1,2,1)),MShot,5))</f>
        <v>T</v>
      </c>
      <c r="C41" s="51" t="str">
        <f>IF(B41="","",IF(LEN(B41)=2,VLOOKUP(A33,MSB,VLOOKUP(LEFT(B41,1),Teams,6,FALSE),FALSE),VLOOKUP(A33,MSA,VLOOKUP(B41,Teams,6,FALSE),FALSE)))</f>
        <v>Martyn Ormerod</v>
      </c>
      <c r="D41" s="52" t="str">
        <f t="shared" si="1"/>
        <v>Tonbridge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3"/>
      <c r="T41" s="54"/>
      <c r="U41" s="55"/>
      <c r="V41" s="56"/>
    </row>
    <row r="42" spans="1:22" ht="18.75" customHeight="1">
      <c r="A42" s="49">
        <v>5</v>
      </c>
      <c r="B42" s="50" t="str">
        <f>IF(VALUE(MID(Dec!$B$1,2,1))="","",VLOOKUP(VALUE(MID(Dec!$B$1,2,1)),MShot,6))</f>
        <v>YY</v>
      </c>
      <c r="C42" s="51" t="str">
        <f>IF(B42="","",IF(LEN(B42)=2,VLOOKUP(A33,MSB,VLOOKUP(LEFT(B42,1),Teams,6,FALSE),FALSE),VLOOKUP(A33,MSA,VLOOKUP(B42,Teams,6,FALSE),FALSE)))</f>
        <v>Sam Cunningham</v>
      </c>
      <c r="D42" s="52" t="str">
        <f t="shared" si="1"/>
        <v>Crawley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3"/>
      <c r="T42" s="54"/>
      <c r="U42" s="55"/>
      <c r="V42" s="56"/>
    </row>
    <row r="43" spans="1:22" ht="18.75" customHeight="1">
      <c r="A43" s="49">
        <v>6</v>
      </c>
      <c r="B43" s="50" t="str">
        <f>IF(VALUE(MID(Dec!$B$1,2,1))="","",VLOOKUP(VALUE(MID(Dec!$B$1,2,1)),MShot,7))</f>
        <v>RR</v>
      </c>
      <c r="C43" s="51" t="str">
        <f>IF(B43="","",IF(LEN(B43)=2,VLOOKUP(A33,MSB,VLOOKUP(LEFT(B43,1),Teams,6,FALSE),FALSE),VLOOKUP(A33,MSA,VLOOKUP(B43,Teams,6,FALSE),FALSE)))</f>
        <v>Richard Wheeler</v>
      </c>
      <c r="D43" s="52" t="str">
        <f t="shared" si="1"/>
        <v>Team Dorset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3"/>
      <c r="T43" s="54"/>
      <c r="U43" s="55"/>
      <c r="V43" s="56"/>
    </row>
    <row r="44" spans="1:22" ht="18.75" customHeight="1">
      <c r="A44" s="49">
        <v>7</v>
      </c>
      <c r="B44" s="50" t="str">
        <f>IF(VALUE(MID(Dec!$B$1,2,1))="","",VLOOKUP(VALUE(MID(Dec!$B$1,2,1)),MShot,8))</f>
        <v>EE</v>
      </c>
      <c r="C44" s="51" t="str">
        <f>IF(B44="","",IF(LEN(B44)=2,VLOOKUP(A33,MSB,VLOOKUP(LEFT(B44,1),Teams,6,FALSE),FALSE),VLOOKUP(A33,MSA,VLOOKUP(B44,Teams,6,FALSE),FALSE)))</f>
        <v>Mark Alden</v>
      </c>
      <c r="D44" s="52" t="str">
        <f t="shared" si="1"/>
        <v>Epsom &amp; Ewell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3"/>
      <c r="T44" s="54"/>
      <c r="U44" s="55"/>
      <c r="V44" s="56"/>
    </row>
    <row r="45" spans="1:22" ht="18.75" customHeight="1">
      <c r="A45" s="49">
        <v>8</v>
      </c>
      <c r="B45" s="50" t="str">
        <f>IF(VALUE(MID(Dec!$B$1,2,1))="","",VLOOKUP(VALUE(MID(Dec!$B$1,2,1)),MShot,9))</f>
        <v>TT</v>
      </c>
      <c r="C45" s="51" t="str">
        <f>IF(B45="","",IF(LEN(B45)=2,VLOOKUP(A33,MSB,VLOOKUP(LEFT(B45,1),Teams,6,FALSE),FALSE),VLOOKUP(A33,MSA,VLOOKUP(B45,Teams,6,FALSE),FALSE)))</f>
        <v>Alex Hookway</v>
      </c>
      <c r="D45" s="52" t="str">
        <f t="shared" si="1"/>
        <v>Tonbridge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53"/>
      <c r="T45" s="54"/>
      <c r="U45" s="55"/>
      <c r="V45" s="56"/>
    </row>
    <row r="46" spans="1:22" ht="18.75" customHeight="1">
      <c r="A46" s="49">
        <v>9</v>
      </c>
      <c r="B46" s="50"/>
      <c r="C46" s="51"/>
      <c r="D46" s="52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3"/>
      <c r="T46" s="54"/>
      <c r="U46" s="55"/>
      <c r="V46" s="56"/>
    </row>
    <row r="47" spans="1:22" ht="18.75" customHeight="1">
      <c r="A47" s="49">
        <v>10</v>
      </c>
      <c r="B47" s="50"/>
      <c r="C47" s="51"/>
      <c r="D47" s="5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53"/>
      <c r="T47" s="54"/>
      <c r="U47" s="55"/>
      <c r="V47" s="56"/>
    </row>
    <row r="48" spans="1:22" ht="18.75" customHeight="1">
      <c r="A48" s="49">
        <v>11</v>
      </c>
      <c r="B48" s="50"/>
      <c r="C48" s="51"/>
      <c r="D48" s="52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3"/>
      <c r="T48" s="54"/>
      <c r="U48" s="55"/>
      <c r="V48" s="56"/>
    </row>
    <row r="49" spans="1:22" ht="18.75" customHeight="1">
      <c r="A49" s="49">
        <v>12</v>
      </c>
      <c r="B49" s="50"/>
      <c r="C49" s="51"/>
      <c r="D49" s="52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53"/>
      <c r="T49" s="54"/>
      <c r="U49" s="55"/>
      <c r="V49" s="56"/>
    </row>
    <row r="50" spans="1:22" ht="18.75" customHeight="1">
      <c r="A50" s="49">
        <v>13</v>
      </c>
      <c r="B50" s="50"/>
      <c r="C50" s="51"/>
      <c r="D50" s="52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53"/>
      <c r="T50" s="54"/>
      <c r="U50" s="55"/>
      <c r="V50" s="56"/>
    </row>
    <row r="51" spans="1:22" ht="18.75" customHeight="1">
      <c r="A51" s="49">
        <v>14</v>
      </c>
      <c r="B51" s="50"/>
      <c r="C51" s="51"/>
      <c r="D51" s="5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53"/>
      <c r="T51" s="54"/>
      <c r="U51" s="55"/>
      <c r="V51" s="56"/>
    </row>
    <row r="52" spans="1:22" ht="18.75" customHeight="1">
      <c r="A52" s="49">
        <v>15</v>
      </c>
      <c r="B52" s="50"/>
      <c r="C52" s="51"/>
      <c r="D52" s="52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53"/>
      <c r="T52" s="54"/>
      <c r="U52" s="55"/>
      <c r="V52" s="56"/>
    </row>
    <row r="53" spans="1:22" ht="18.75" customHeight="1" thickBot="1">
      <c r="A53" s="57">
        <v>16</v>
      </c>
      <c r="B53" s="58"/>
      <c r="C53" s="51"/>
      <c r="D53" s="52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/>
      <c r="U53" s="62"/>
      <c r="V53" s="63"/>
    </row>
    <row r="54" ht="3.75" customHeight="1" thickBot="1"/>
    <row r="55" spans="1:22" ht="12">
      <c r="A55" s="192" t="s">
        <v>829</v>
      </c>
      <c r="B55" s="193"/>
      <c r="C55" s="193"/>
      <c r="D55" s="193"/>
      <c r="E55" s="193"/>
      <c r="F55" s="193"/>
      <c r="G55" s="194"/>
      <c r="H55" s="64" t="s">
        <v>830</v>
      </c>
      <c r="I55" s="195" t="s">
        <v>829</v>
      </c>
      <c r="J55" s="193"/>
      <c r="K55" s="193"/>
      <c r="L55" s="193"/>
      <c r="M55" s="193"/>
      <c r="N55" s="193"/>
      <c r="O55" s="193"/>
      <c r="P55" s="193"/>
      <c r="Q55" s="193"/>
      <c r="R55" s="193"/>
      <c r="S55" s="196"/>
      <c r="T55" s="197" t="s">
        <v>831</v>
      </c>
      <c r="U55" s="198"/>
      <c r="V55" s="199"/>
    </row>
    <row r="56" spans="1:22" ht="12">
      <c r="A56" s="54" t="s">
        <v>832</v>
      </c>
      <c r="B56" s="65" t="s">
        <v>833</v>
      </c>
      <c r="C56" s="48" t="s">
        <v>970</v>
      </c>
      <c r="D56" s="48" t="s">
        <v>971</v>
      </c>
      <c r="E56" s="200" t="s">
        <v>828</v>
      </c>
      <c r="F56" s="200"/>
      <c r="G56" s="65" t="s">
        <v>834</v>
      </c>
      <c r="H56" s="200" t="s">
        <v>832</v>
      </c>
      <c r="I56" s="200"/>
      <c r="J56" s="65" t="s">
        <v>833</v>
      </c>
      <c r="K56" s="183" t="s">
        <v>970</v>
      </c>
      <c r="L56" s="183"/>
      <c r="M56" s="183"/>
      <c r="N56" s="183" t="s">
        <v>971</v>
      </c>
      <c r="O56" s="183"/>
      <c r="P56" s="183"/>
      <c r="Q56" s="201" t="s">
        <v>828</v>
      </c>
      <c r="R56" s="202"/>
      <c r="S56" s="66" t="s">
        <v>834</v>
      </c>
      <c r="T56" s="177"/>
      <c r="U56" s="178"/>
      <c r="V56" s="179"/>
    </row>
    <row r="57" spans="1:22" ht="18.75" customHeight="1">
      <c r="A57" s="67" t="s">
        <v>835</v>
      </c>
      <c r="B57" s="46"/>
      <c r="C57" s="46"/>
      <c r="D57" s="46"/>
      <c r="E57" s="46"/>
      <c r="F57" s="46"/>
      <c r="G57" s="46"/>
      <c r="H57" s="183" t="s">
        <v>836</v>
      </c>
      <c r="I57" s="183"/>
      <c r="J57" s="46"/>
      <c r="K57" s="184"/>
      <c r="L57" s="185"/>
      <c r="M57" s="186"/>
      <c r="N57" s="184"/>
      <c r="O57" s="185"/>
      <c r="P57" s="186"/>
      <c r="Q57" s="46"/>
      <c r="R57" s="46"/>
      <c r="S57" s="53"/>
      <c r="T57" s="177"/>
      <c r="U57" s="178"/>
      <c r="V57" s="179"/>
    </row>
    <row r="58" spans="1:22" ht="18.75" customHeight="1">
      <c r="A58" s="67" t="s">
        <v>837</v>
      </c>
      <c r="B58" s="46"/>
      <c r="C58" s="46"/>
      <c r="D58" s="46"/>
      <c r="E58" s="46"/>
      <c r="F58" s="46"/>
      <c r="G58" s="46"/>
      <c r="H58" s="183" t="s">
        <v>838</v>
      </c>
      <c r="I58" s="183"/>
      <c r="J58" s="46"/>
      <c r="K58" s="184"/>
      <c r="L58" s="185"/>
      <c r="M58" s="186"/>
      <c r="N58" s="184"/>
      <c r="O58" s="185"/>
      <c r="P58" s="186"/>
      <c r="Q58" s="46"/>
      <c r="R58" s="46"/>
      <c r="S58" s="53"/>
      <c r="T58" s="177"/>
      <c r="U58" s="178"/>
      <c r="V58" s="179"/>
    </row>
    <row r="59" spans="1:22" ht="18.75" customHeight="1">
      <c r="A59" s="67" t="s">
        <v>839</v>
      </c>
      <c r="B59" s="46"/>
      <c r="C59" s="46"/>
      <c r="D59" s="46"/>
      <c r="E59" s="46"/>
      <c r="F59" s="46"/>
      <c r="G59" s="46"/>
      <c r="H59" s="183" t="s">
        <v>840</v>
      </c>
      <c r="I59" s="183"/>
      <c r="J59" s="46"/>
      <c r="K59" s="184"/>
      <c r="L59" s="185"/>
      <c r="M59" s="186"/>
      <c r="N59" s="184"/>
      <c r="O59" s="185"/>
      <c r="P59" s="186"/>
      <c r="Q59" s="46"/>
      <c r="R59" s="46"/>
      <c r="S59" s="53"/>
      <c r="T59" s="177"/>
      <c r="U59" s="178"/>
      <c r="V59" s="179"/>
    </row>
    <row r="60" spans="1:22" ht="18.75" customHeight="1">
      <c r="A60" s="67" t="s">
        <v>841</v>
      </c>
      <c r="B60" s="46"/>
      <c r="C60" s="46"/>
      <c r="D60" s="46"/>
      <c r="E60" s="46"/>
      <c r="F60" s="46"/>
      <c r="G60" s="46"/>
      <c r="H60" s="183" t="s">
        <v>842</v>
      </c>
      <c r="I60" s="183"/>
      <c r="J60" s="46"/>
      <c r="K60" s="184"/>
      <c r="L60" s="185"/>
      <c r="M60" s="186"/>
      <c r="N60" s="184"/>
      <c r="O60" s="185"/>
      <c r="P60" s="186"/>
      <c r="Q60" s="46"/>
      <c r="R60" s="46"/>
      <c r="S60" s="53"/>
      <c r="T60" s="177"/>
      <c r="U60" s="178"/>
      <c r="V60" s="179"/>
    </row>
    <row r="61" spans="1:22" ht="18.75" customHeight="1">
      <c r="A61" s="67" t="s">
        <v>843</v>
      </c>
      <c r="B61" s="46"/>
      <c r="C61" s="46"/>
      <c r="D61" s="46"/>
      <c r="E61" s="46"/>
      <c r="F61" s="46"/>
      <c r="G61" s="46"/>
      <c r="H61" s="183" t="s">
        <v>844</v>
      </c>
      <c r="I61" s="183"/>
      <c r="J61" s="46"/>
      <c r="K61" s="184"/>
      <c r="L61" s="185"/>
      <c r="M61" s="186"/>
      <c r="N61" s="184"/>
      <c r="O61" s="185"/>
      <c r="P61" s="186"/>
      <c r="Q61" s="46"/>
      <c r="R61" s="46"/>
      <c r="S61" s="53"/>
      <c r="T61" s="177"/>
      <c r="U61" s="178"/>
      <c r="V61" s="179"/>
    </row>
    <row r="62" spans="1:22" ht="18.75" customHeight="1">
      <c r="A62" s="67" t="s">
        <v>845</v>
      </c>
      <c r="B62" s="46"/>
      <c r="C62" s="46"/>
      <c r="D62" s="46"/>
      <c r="E62" s="46"/>
      <c r="F62" s="46"/>
      <c r="G62" s="46"/>
      <c r="H62" s="183" t="s">
        <v>846</v>
      </c>
      <c r="I62" s="183"/>
      <c r="J62" s="46"/>
      <c r="K62" s="184"/>
      <c r="L62" s="185"/>
      <c r="M62" s="186"/>
      <c r="N62" s="184"/>
      <c r="O62" s="185"/>
      <c r="P62" s="186"/>
      <c r="Q62" s="46"/>
      <c r="R62" s="46"/>
      <c r="S62" s="53"/>
      <c r="T62" s="177" t="s">
        <v>847</v>
      </c>
      <c r="U62" s="178"/>
      <c r="V62" s="179"/>
    </row>
    <row r="63" spans="1:22" ht="18.75" customHeight="1">
      <c r="A63" s="67" t="s">
        <v>848</v>
      </c>
      <c r="B63" s="46"/>
      <c r="C63" s="46"/>
      <c r="D63" s="46"/>
      <c r="E63" s="46"/>
      <c r="F63" s="46"/>
      <c r="G63" s="46"/>
      <c r="H63" s="183" t="s">
        <v>849</v>
      </c>
      <c r="I63" s="183"/>
      <c r="J63" s="46"/>
      <c r="K63" s="184"/>
      <c r="L63" s="185"/>
      <c r="M63" s="186"/>
      <c r="N63" s="184"/>
      <c r="O63" s="185"/>
      <c r="P63" s="186"/>
      <c r="Q63" s="46"/>
      <c r="R63" s="46"/>
      <c r="S63" s="53"/>
      <c r="T63" s="177"/>
      <c r="U63" s="178"/>
      <c r="V63" s="179"/>
    </row>
    <row r="64" spans="1:22" ht="18.75" customHeight="1" thickBot="1">
      <c r="A64" s="68" t="s">
        <v>850</v>
      </c>
      <c r="B64" s="59"/>
      <c r="C64" s="59"/>
      <c r="D64" s="59"/>
      <c r="E64" s="59"/>
      <c r="F64" s="59"/>
      <c r="G64" s="59"/>
      <c r="H64" s="187" t="s">
        <v>851</v>
      </c>
      <c r="I64" s="187"/>
      <c r="J64" s="59"/>
      <c r="K64" s="188"/>
      <c r="L64" s="189"/>
      <c r="M64" s="190"/>
      <c r="N64" s="188"/>
      <c r="O64" s="189"/>
      <c r="P64" s="190"/>
      <c r="Q64" s="59"/>
      <c r="R64" s="59"/>
      <c r="S64" s="60"/>
      <c r="T64" s="180"/>
      <c r="U64" s="181"/>
      <c r="V64" s="182"/>
    </row>
    <row r="65" ht="12">
      <c r="A65" t="s">
        <v>900</v>
      </c>
    </row>
    <row r="66" spans="1:22" ht="12">
      <c r="A66" s="176" t="s">
        <v>812</v>
      </c>
      <c r="B66" s="176"/>
      <c r="C66" s="176"/>
      <c r="D66" s="223" t="str">
        <f>"Date: "&amp;TEXT(Dec!D$3,"dd mmmm yyyy")</f>
        <v>Date: 21 June 2014</v>
      </c>
      <c r="E66" s="223"/>
      <c r="F66" s="223" t="s">
        <v>813</v>
      </c>
      <c r="G66" s="223"/>
      <c r="H66" s="223"/>
      <c r="I66" s="223"/>
      <c r="J66" s="223" t="str">
        <f>"Venue: "&amp;Dec!$B$3</f>
        <v>Venue: Kingston</v>
      </c>
      <c r="K66" s="223"/>
      <c r="L66" s="223"/>
      <c r="M66" s="223"/>
      <c r="N66" s="223"/>
      <c r="O66" s="223" t="s">
        <v>856</v>
      </c>
      <c r="P66" s="223"/>
      <c r="Q66" s="223"/>
      <c r="R66" s="223"/>
      <c r="S66" s="223"/>
      <c r="T66" s="223"/>
      <c r="U66" s="223"/>
      <c r="V66" s="223"/>
    </row>
    <row r="67" spans="1:22" ht="12.75" thickBot="1">
      <c r="A67" s="223" t="str">
        <f>"Event: Women's Long Jump - "&amp;Dec!B7</f>
        <v>Event: Women's Long Jump - Team Dorset</v>
      </c>
      <c r="B67" s="223"/>
      <c r="C67" s="223"/>
      <c r="D67" s="223"/>
      <c r="E67" s="223"/>
      <c r="F67" s="224" t="s">
        <v>861</v>
      </c>
      <c r="G67" s="223"/>
      <c r="H67" s="223"/>
      <c r="I67" s="223"/>
      <c r="J67" s="223" t="s">
        <v>814</v>
      </c>
      <c r="K67" s="223"/>
      <c r="L67" s="223"/>
      <c r="M67" s="223"/>
      <c r="N67" s="223"/>
      <c r="O67" s="223" t="s">
        <v>815</v>
      </c>
      <c r="P67" s="223"/>
      <c r="Q67" s="223"/>
      <c r="R67" s="223"/>
      <c r="S67" s="223"/>
      <c r="T67" s="223"/>
      <c r="U67" s="223"/>
      <c r="V67" s="223"/>
    </row>
    <row r="68" spans="1:22" ht="33.75" customHeight="1">
      <c r="A68" s="215" t="s">
        <v>816</v>
      </c>
      <c r="B68" s="217" t="s">
        <v>817</v>
      </c>
      <c r="C68" s="219" t="s">
        <v>862</v>
      </c>
      <c r="D68" s="220"/>
      <c r="E68" s="191" t="s">
        <v>818</v>
      </c>
      <c r="F68" s="191"/>
      <c r="G68" s="191" t="s">
        <v>819</v>
      </c>
      <c r="H68" s="191"/>
      <c r="I68" s="191" t="s">
        <v>820</v>
      </c>
      <c r="J68" s="191"/>
      <c r="K68" s="208" t="s">
        <v>821</v>
      </c>
      <c r="L68" s="208"/>
      <c r="M68" s="203" t="s">
        <v>822</v>
      </c>
      <c r="N68" s="208" t="s">
        <v>823</v>
      </c>
      <c r="O68" s="208"/>
      <c r="P68" s="208" t="s">
        <v>824</v>
      </c>
      <c r="Q68" s="208"/>
      <c r="R68" s="208" t="s">
        <v>825</v>
      </c>
      <c r="S68" s="211"/>
      <c r="T68" s="213" t="s">
        <v>826</v>
      </c>
      <c r="U68" s="214"/>
      <c r="V68" s="205" t="s">
        <v>827</v>
      </c>
    </row>
    <row r="69" spans="1:22" ht="24" customHeight="1">
      <c r="A69" s="216"/>
      <c r="B69" s="218"/>
      <c r="C69" s="221"/>
      <c r="D69" s="222"/>
      <c r="E69" s="207" t="s">
        <v>828</v>
      </c>
      <c r="F69" s="207"/>
      <c r="G69" s="207" t="s">
        <v>828</v>
      </c>
      <c r="H69" s="207"/>
      <c r="I69" s="207" t="s">
        <v>828</v>
      </c>
      <c r="J69" s="207"/>
      <c r="K69" s="207" t="s">
        <v>828</v>
      </c>
      <c r="L69" s="207"/>
      <c r="M69" s="204"/>
      <c r="N69" s="207" t="s">
        <v>828</v>
      </c>
      <c r="O69" s="207"/>
      <c r="P69" s="207" t="s">
        <v>828</v>
      </c>
      <c r="Q69" s="207"/>
      <c r="R69" s="207" t="s">
        <v>828</v>
      </c>
      <c r="S69" s="212"/>
      <c r="T69" s="209" t="s">
        <v>828</v>
      </c>
      <c r="U69" s="210"/>
      <c r="V69" s="206"/>
    </row>
    <row r="70" spans="1:22" ht="18.75" customHeight="1">
      <c r="A70" s="49">
        <v>1</v>
      </c>
      <c r="B70" s="50" t="str">
        <f>IF(VALUE(MID(Dec!$B$1,2,1))="","",VLOOKUP(VALUE(MID(Dec!$B$1,2,1)),WLong_Jump,2))</f>
        <v>Y</v>
      </c>
      <c r="C70" s="51" t="str">
        <f>IF(B70="","",IF(LEN(B70)=2,VLOOKUP(A65,WSB,VLOOKUP(LEFT(B70,1),Teams,6,FALSE),FALSE),VLOOKUP(A65,WSA,VLOOKUP(B70,Teams,6,FALSE),FALSE)))</f>
        <v>Jo Rowland</v>
      </c>
      <c r="D70" s="52" t="str">
        <f aca="true" t="shared" si="2" ref="D70:D77">IF(B70="","",VLOOKUP(LEFT(B70,1),Teams,2,FALSE))</f>
        <v>Crawley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53"/>
      <c r="T70" s="54"/>
      <c r="U70" s="55"/>
      <c r="V70" s="56"/>
    </row>
    <row r="71" spans="1:22" ht="18.75" customHeight="1">
      <c r="A71" s="49">
        <v>2</v>
      </c>
      <c r="B71" s="50" t="str">
        <f>IF(VALUE(MID(Dec!$B$1,2,1))="","",VLOOKUP(VALUE(MID(Dec!$B$1,2,1)),WLong_Jump,3))</f>
        <v>R</v>
      </c>
      <c r="C71" s="51" t="str">
        <f>IF(B71="","",IF(LEN(B71)=2,VLOOKUP(A65,WSB,VLOOKUP(LEFT(B71,1),Teams,6,FALSE),FALSE),VLOOKUP(A65,WSA,VLOOKUP(B71,Teams,6,FALSE),FALSE)))</f>
        <v>Charlotte Offer</v>
      </c>
      <c r="D71" s="52" t="str">
        <f t="shared" si="2"/>
        <v>Team Dorset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53"/>
      <c r="T71" s="54"/>
      <c r="U71" s="55"/>
      <c r="V71" s="56"/>
    </row>
    <row r="72" spans="1:22" ht="18.75" customHeight="1">
      <c r="A72" s="49">
        <v>3</v>
      </c>
      <c r="B72" s="50" t="str">
        <f>IF(VALUE(MID(Dec!$B$1,2,1))="","",VLOOKUP(VALUE(MID(Dec!$B$1,2,1)),WLong_Jump,4))</f>
        <v>T</v>
      </c>
      <c r="C72" s="51" t="str">
        <f>IF(B72="","",IF(LEN(B72)=2,VLOOKUP(A65,WSB,VLOOKUP(LEFT(B72,1),Teams,6,FALSE),FALSE),VLOOKUP(A65,WSA,VLOOKUP(B72,Teams,6,FALSE),FALSE)))</f>
        <v>Joanne Ware</v>
      </c>
      <c r="D72" s="52" t="str">
        <f t="shared" si="2"/>
        <v>Tonbridge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53"/>
      <c r="T72" s="54"/>
      <c r="U72" s="55"/>
      <c r="V72" s="56"/>
    </row>
    <row r="73" spans="1:22" ht="18.75" customHeight="1">
      <c r="A73" s="49">
        <v>4</v>
      </c>
      <c r="B73" s="50" t="str">
        <f>IF(VALUE(MID(Dec!$B$1,2,1))="","",VLOOKUP(VALUE(MID(Dec!$B$1,2,1)),WLong_Jump,5))</f>
        <v>E</v>
      </c>
      <c r="C73" s="51" t="str">
        <f>IF(B73="","",IF(LEN(B73)=2,VLOOKUP(A65,WSB,VLOOKUP(LEFT(B73,1),Teams,6,FALSE),FALSE),VLOOKUP(A65,WSA,VLOOKUP(B73,Teams,6,FALSE),FALSE)))</f>
        <v>Diana Norman</v>
      </c>
      <c r="D73" s="52" t="str">
        <f t="shared" si="2"/>
        <v>Epsom &amp; Ewell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53"/>
      <c r="T73" s="54"/>
      <c r="U73" s="55"/>
      <c r="V73" s="56"/>
    </row>
    <row r="74" spans="1:22" ht="18.75" customHeight="1">
      <c r="A74" s="49">
        <v>5</v>
      </c>
      <c r="B74" s="50" t="str">
        <f>IF(VALUE(MID(Dec!$B$1,2,1))="","",VLOOKUP(VALUE(MID(Dec!$B$1,2,1)),WLong_Jump,6))</f>
        <v>YY</v>
      </c>
      <c r="C74" s="51" t="str">
        <f>IF(B74="","",IF(LEN(B74)=2,VLOOKUP(A65,WSB,VLOOKUP(LEFT(B74,1),Teams,6,FALSE),FALSE),VLOOKUP(A65,WSA,VLOOKUP(B74,Teams,6,FALSE),FALSE)))</f>
        <v>Becky Owen</v>
      </c>
      <c r="D74" s="52" t="str">
        <f t="shared" si="2"/>
        <v>Crawley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53"/>
      <c r="T74" s="54"/>
      <c r="U74" s="55"/>
      <c r="V74" s="56"/>
    </row>
    <row r="75" spans="1:22" ht="18.75" customHeight="1">
      <c r="A75" s="49">
        <v>6</v>
      </c>
      <c r="B75" s="50" t="str">
        <f>IF(VALUE(MID(Dec!$B$1,2,1))="","",VLOOKUP(VALUE(MID(Dec!$B$1,2,1)),WLong_Jump,7))</f>
        <v>RR</v>
      </c>
      <c r="C75" s="51" t="str">
        <f>IF(B75="","",IF(LEN(B75)=2,VLOOKUP(A65,WSB,VLOOKUP(LEFT(B75,1),Teams,6,FALSE),FALSE),VLOOKUP(A65,WSA,VLOOKUP(B75,Teams,6,FALSE),FALSE)))</f>
        <v>Maddy Williams </v>
      </c>
      <c r="D75" s="52" t="str">
        <f t="shared" si="2"/>
        <v>Team Dorset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53"/>
      <c r="T75" s="54"/>
      <c r="U75" s="55"/>
      <c r="V75" s="56"/>
    </row>
    <row r="76" spans="1:22" ht="18.75" customHeight="1">
      <c r="A76" s="49">
        <v>7</v>
      </c>
      <c r="B76" s="50" t="str">
        <f>IF(VALUE(MID(Dec!$B$1,2,1))="","",VLOOKUP(VALUE(MID(Dec!$B$1,2,1)),WLong_Jump,8))</f>
        <v>TT</v>
      </c>
      <c r="C76" s="51" t="str">
        <f>IF(B76="","",IF(LEN(B76)=2,VLOOKUP(A65,WSB,VLOOKUP(LEFT(B76,1),Teams,6,FALSE),FALSE),VLOOKUP(A65,WSA,VLOOKUP(B76,Teams,6,FALSE),FALSE)))</f>
        <v>Eleanor Ribbits</v>
      </c>
      <c r="D76" s="52" t="str">
        <f t="shared" si="2"/>
        <v>Tonbridge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53"/>
      <c r="T76" s="54"/>
      <c r="U76" s="55"/>
      <c r="V76" s="56"/>
    </row>
    <row r="77" spans="1:22" ht="18.75" customHeight="1">
      <c r="A77" s="49">
        <v>8</v>
      </c>
      <c r="B77" s="50" t="str">
        <f>IF(VALUE(MID(Dec!$B$1,2,1))="","",VLOOKUP(VALUE(MID(Dec!$B$1,2,1)),WLong_Jump,9))</f>
        <v>EE</v>
      </c>
      <c r="C77" s="51" t="str">
        <f>IF(B77="","",IF(LEN(B77)=2,VLOOKUP(A65,WSB,VLOOKUP(LEFT(B77,1),Teams,6,FALSE),FALSE),VLOOKUP(A65,WSA,VLOOKUP(B77,Teams,6,FALSE),FALSE)))</f>
        <v>Emily Alden</v>
      </c>
      <c r="D77" s="52" t="str">
        <f t="shared" si="2"/>
        <v>Epsom &amp; Ewell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53"/>
      <c r="T77" s="54"/>
      <c r="U77" s="55"/>
      <c r="V77" s="56"/>
    </row>
    <row r="78" spans="1:22" ht="18.75" customHeight="1">
      <c r="A78" s="49">
        <v>9</v>
      </c>
      <c r="B78" s="50"/>
      <c r="C78" s="51"/>
      <c r="D78" s="52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53"/>
      <c r="T78" s="54"/>
      <c r="U78" s="55"/>
      <c r="V78" s="56"/>
    </row>
    <row r="79" spans="1:22" ht="18.75" customHeight="1">
      <c r="A79" s="49">
        <v>10</v>
      </c>
      <c r="B79" s="50"/>
      <c r="C79" s="51"/>
      <c r="D79" s="52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53"/>
      <c r="T79" s="54"/>
      <c r="U79" s="55"/>
      <c r="V79" s="56"/>
    </row>
    <row r="80" spans="1:22" ht="18.75" customHeight="1">
      <c r="A80" s="49">
        <v>11</v>
      </c>
      <c r="B80" s="50"/>
      <c r="C80" s="51"/>
      <c r="D80" s="52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53"/>
      <c r="T80" s="54"/>
      <c r="U80" s="55"/>
      <c r="V80" s="56"/>
    </row>
    <row r="81" spans="1:22" ht="18.75" customHeight="1">
      <c r="A81" s="49">
        <v>12</v>
      </c>
      <c r="B81" s="50"/>
      <c r="C81" s="51"/>
      <c r="D81" s="52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53"/>
      <c r="T81" s="54"/>
      <c r="U81" s="55"/>
      <c r="V81" s="56"/>
    </row>
    <row r="82" spans="1:22" ht="18.75" customHeight="1">
      <c r="A82" s="49">
        <v>13</v>
      </c>
      <c r="B82" s="50"/>
      <c r="C82" s="51"/>
      <c r="D82" s="52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53"/>
      <c r="T82" s="54"/>
      <c r="U82" s="55"/>
      <c r="V82" s="56"/>
    </row>
    <row r="83" spans="1:22" ht="18.75" customHeight="1">
      <c r="A83" s="49">
        <v>14</v>
      </c>
      <c r="B83" s="50"/>
      <c r="C83" s="51"/>
      <c r="D83" s="52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53"/>
      <c r="T83" s="54"/>
      <c r="U83" s="55"/>
      <c r="V83" s="56"/>
    </row>
    <row r="84" spans="1:22" ht="18.75" customHeight="1">
      <c r="A84" s="49">
        <v>15</v>
      </c>
      <c r="B84" s="50"/>
      <c r="C84" s="51"/>
      <c r="D84" s="52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53"/>
      <c r="T84" s="54"/>
      <c r="U84" s="55"/>
      <c r="V84" s="56"/>
    </row>
    <row r="85" spans="1:22" ht="18.75" customHeight="1" thickBot="1">
      <c r="A85" s="57">
        <v>16</v>
      </c>
      <c r="B85" s="58"/>
      <c r="C85" s="51"/>
      <c r="D85" s="5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/>
      <c r="U85" s="62"/>
      <c r="V85" s="63"/>
    </row>
    <row r="86" ht="5.25" customHeight="1" thickBot="1"/>
    <row r="87" spans="1:22" ht="12">
      <c r="A87" s="192" t="s">
        <v>829</v>
      </c>
      <c r="B87" s="193"/>
      <c r="C87" s="193"/>
      <c r="D87" s="193"/>
      <c r="E87" s="193"/>
      <c r="F87" s="193"/>
      <c r="G87" s="194"/>
      <c r="H87" s="64" t="s">
        <v>830</v>
      </c>
      <c r="I87" s="195" t="s">
        <v>829</v>
      </c>
      <c r="J87" s="193"/>
      <c r="K87" s="193"/>
      <c r="L87" s="193"/>
      <c r="M87" s="193"/>
      <c r="N87" s="193"/>
      <c r="O87" s="193"/>
      <c r="P87" s="193"/>
      <c r="Q87" s="193"/>
      <c r="R87" s="193"/>
      <c r="S87" s="196"/>
      <c r="T87" s="197" t="s">
        <v>831</v>
      </c>
      <c r="U87" s="198"/>
      <c r="V87" s="199"/>
    </row>
    <row r="88" spans="1:22" ht="12">
      <c r="A88" s="54" t="s">
        <v>832</v>
      </c>
      <c r="B88" s="65" t="s">
        <v>833</v>
      </c>
      <c r="C88" s="48" t="s">
        <v>970</v>
      </c>
      <c r="D88" s="48" t="s">
        <v>971</v>
      </c>
      <c r="E88" s="200" t="s">
        <v>828</v>
      </c>
      <c r="F88" s="200"/>
      <c r="G88" s="65" t="s">
        <v>834</v>
      </c>
      <c r="H88" s="200" t="s">
        <v>832</v>
      </c>
      <c r="I88" s="200"/>
      <c r="J88" s="65" t="s">
        <v>833</v>
      </c>
      <c r="K88" s="183" t="s">
        <v>970</v>
      </c>
      <c r="L88" s="183"/>
      <c r="M88" s="183"/>
      <c r="N88" s="183" t="s">
        <v>971</v>
      </c>
      <c r="O88" s="183"/>
      <c r="P88" s="183"/>
      <c r="Q88" s="201" t="s">
        <v>828</v>
      </c>
      <c r="R88" s="202"/>
      <c r="S88" s="66" t="s">
        <v>834</v>
      </c>
      <c r="T88" s="177"/>
      <c r="U88" s="178"/>
      <c r="V88" s="179"/>
    </row>
    <row r="89" spans="1:22" ht="18.75" customHeight="1">
      <c r="A89" s="67" t="s">
        <v>835</v>
      </c>
      <c r="B89" s="46"/>
      <c r="C89" s="46"/>
      <c r="D89" s="46"/>
      <c r="E89" s="46"/>
      <c r="F89" s="46"/>
      <c r="G89" s="46"/>
      <c r="H89" s="183" t="s">
        <v>836</v>
      </c>
      <c r="I89" s="183"/>
      <c r="J89" s="46"/>
      <c r="K89" s="184"/>
      <c r="L89" s="185"/>
      <c r="M89" s="186"/>
      <c r="N89" s="184"/>
      <c r="O89" s="185"/>
      <c r="P89" s="186"/>
      <c r="Q89" s="46"/>
      <c r="R89" s="46"/>
      <c r="S89" s="53"/>
      <c r="T89" s="177"/>
      <c r="U89" s="178"/>
      <c r="V89" s="179"/>
    </row>
    <row r="90" spans="1:22" ht="18.75" customHeight="1">
      <c r="A90" s="67" t="s">
        <v>837</v>
      </c>
      <c r="B90" s="46"/>
      <c r="C90" s="46"/>
      <c r="D90" s="46"/>
      <c r="E90" s="46"/>
      <c r="F90" s="46"/>
      <c r="G90" s="46"/>
      <c r="H90" s="183" t="s">
        <v>838</v>
      </c>
      <c r="I90" s="183"/>
      <c r="J90" s="46"/>
      <c r="K90" s="184"/>
      <c r="L90" s="185"/>
      <c r="M90" s="186"/>
      <c r="N90" s="184"/>
      <c r="O90" s="185"/>
      <c r="P90" s="186"/>
      <c r="Q90" s="46"/>
      <c r="R90" s="46"/>
      <c r="S90" s="53"/>
      <c r="T90" s="177"/>
      <c r="U90" s="178"/>
      <c r="V90" s="179"/>
    </row>
    <row r="91" spans="1:22" ht="18.75" customHeight="1">
      <c r="A91" s="67" t="s">
        <v>839</v>
      </c>
      <c r="B91" s="46"/>
      <c r="C91" s="46"/>
      <c r="D91" s="46"/>
      <c r="E91" s="46"/>
      <c r="F91" s="46"/>
      <c r="G91" s="46"/>
      <c r="H91" s="183" t="s">
        <v>840</v>
      </c>
      <c r="I91" s="183"/>
      <c r="J91" s="46"/>
      <c r="K91" s="184"/>
      <c r="L91" s="185"/>
      <c r="M91" s="186"/>
      <c r="N91" s="184"/>
      <c r="O91" s="185"/>
      <c r="P91" s="186"/>
      <c r="Q91" s="46"/>
      <c r="R91" s="46"/>
      <c r="S91" s="53"/>
      <c r="T91" s="177"/>
      <c r="U91" s="178"/>
      <c r="V91" s="179"/>
    </row>
    <row r="92" spans="1:22" ht="18.75" customHeight="1">
      <c r="A92" s="67" t="s">
        <v>841</v>
      </c>
      <c r="B92" s="46"/>
      <c r="C92" s="46"/>
      <c r="D92" s="46"/>
      <c r="E92" s="46"/>
      <c r="F92" s="46"/>
      <c r="G92" s="46"/>
      <c r="H92" s="183" t="s">
        <v>842</v>
      </c>
      <c r="I92" s="183"/>
      <c r="J92" s="46"/>
      <c r="K92" s="184"/>
      <c r="L92" s="185"/>
      <c r="M92" s="186"/>
      <c r="N92" s="184"/>
      <c r="O92" s="185"/>
      <c r="P92" s="186"/>
      <c r="Q92" s="46"/>
      <c r="R92" s="46"/>
      <c r="S92" s="53"/>
      <c r="T92" s="177"/>
      <c r="U92" s="178"/>
      <c r="V92" s="179"/>
    </row>
    <row r="93" spans="1:22" ht="18.75" customHeight="1">
      <c r="A93" s="67" t="s">
        <v>843</v>
      </c>
      <c r="B93" s="46"/>
      <c r="C93" s="46"/>
      <c r="D93" s="46"/>
      <c r="E93" s="46"/>
      <c r="F93" s="46"/>
      <c r="G93" s="46"/>
      <c r="H93" s="183" t="s">
        <v>844</v>
      </c>
      <c r="I93" s="183"/>
      <c r="J93" s="46"/>
      <c r="K93" s="184"/>
      <c r="L93" s="185"/>
      <c r="M93" s="186"/>
      <c r="N93" s="184"/>
      <c r="O93" s="185"/>
      <c r="P93" s="186"/>
      <c r="Q93" s="46"/>
      <c r="R93" s="46"/>
      <c r="S93" s="53"/>
      <c r="T93" s="177"/>
      <c r="U93" s="178"/>
      <c r="V93" s="179"/>
    </row>
    <row r="94" spans="1:22" ht="18.75" customHeight="1">
      <c r="A94" s="67" t="s">
        <v>845</v>
      </c>
      <c r="B94" s="46"/>
      <c r="C94" s="46"/>
      <c r="D94" s="46"/>
      <c r="E94" s="46"/>
      <c r="F94" s="46"/>
      <c r="G94" s="46"/>
      <c r="H94" s="183" t="s">
        <v>846</v>
      </c>
      <c r="I94" s="183"/>
      <c r="J94" s="46"/>
      <c r="K94" s="184"/>
      <c r="L94" s="185"/>
      <c r="M94" s="186"/>
      <c r="N94" s="184"/>
      <c r="O94" s="185"/>
      <c r="P94" s="186"/>
      <c r="Q94" s="46"/>
      <c r="R94" s="46"/>
      <c r="S94" s="53"/>
      <c r="T94" s="177" t="s">
        <v>847</v>
      </c>
      <c r="U94" s="178"/>
      <c r="V94" s="179"/>
    </row>
    <row r="95" spans="1:22" ht="18.75" customHeight="1">
      <c r="A95" s="67" t="s">
        <v>848</v>
      </c>
      <c r="B95" s="46"/>
      <c r="C95" s="46"/>
      <c r="D95" s="46"/>
      <c r="E95" s="46"/>
      <c r="F95" s="46"/>
      <c r="G95" s="46"/>
      <c r="H95" s="183" t="s">
        <v>849</v>
      </c>
      <c r="I95" s="183"/>
      <c r="J95" s="46"/>
      <c r="K95" s="184"/>
      <c r="L95" s="185"/>
      <c r="M95" s="186"/>
      <c r="N95" s="184"/>
      <c r="O95" s="185"/>
      <c r="P95" s="186"/>
      <c r="Q95" s="46"/>
      <c r="R95" s="46"/>
      <c r="S95" s="53"/>
      <c r="T95" s="177"/>
      <c r="U95" s="178"/>
      <c r="V95" s="179"/>
    </row>
    <row r="96" spans="1:22" ht="18.75" customHeight="1" thickBot="1">
      <c r="A96" s="68" t="s">
        <v>850</v>
      </c>
      <c r="B96" s="59"/>
      <c r="C96" s="59"/>
      <c r="D96" s="59"/>
      <c r="E96" s="59"/>
      <c r="F96" s="59"/>
      <c r="G96" s="59"/>
      <c r="H96" s="187" t="s">
        <v>851</v>
      </c>
      <c r="I96" s="187"/>
      <c r="J96" s="59"/>
      <c r="K96" s="188"/>
      <c r="L96" s="189"/>
      <c r="M96" s="190"/>
      <c r="N96" s="188"/>
      <c r="O96" s="189"/>
      <c r="P96" s="190"/>
      <c r="Q96" s="59"/>
      <c r="R96" s="59"/>
      <c r="S96" s="60"/>
      <c r="T96" s="180"/>
      <c r="U96" s="181"/>
      <c r="V96" s="182"/>
    </row>
    <row r="97" ht="12">
      <c r="A97" t="s">
        <v>991</v>
      </c>
    </row>
    <row r="98" spans="1:22" ht="12">
      <c r="A98" s="176" t="s">
        <v>812</v>
      </c>
      <c r="B98" s="176"/>
      <c r="C98" s="176"/>
      <c r="D98" s="223" t="str">
        <f>"Date: "&amp;TEXT(Dec!D$3,"dd mmmm yyyy")</f>
        <v>Date: 21 June 2014</v>
      </c>
      <c r="E98" s="223"/>
      <c r="F98" s="223" t="s">
        <v>813</v>
      </c>
      <c r="G98" s="223"/>
      <c r="H98" s="223"/>
      <c r="I98" s="223"/>
      <c r="J98" s="223" t="str">
        <f>"Venue: "&amp;Dec!$B$3</f>
        <v>Venue: Kingston</v>
      </c>
      <c r="K98" s="223"/>
      <c r="L98" s="223"/>
      <c r="M98" s="223"/>
      <c r="N98" s="223"/>
      <c r="O98" s="223" t="s">
        <v>856</v>
      </c>
      <c r="P98" s="223"/>
      <c r="Q98" s="223"/>
      <c r="R98" s="223"/>
      <c r="S98" s="223"/>
      <c r="T98" s="223"/>
      <c r="U98" s="223"/>
      <c r="V98" s="223"/>
    </row>
    <row r="99" spans="1:22" ht="12.75" thickBot="1">
      <c r="A99" s="223" t="str">
        <f>"Event: Men's Hammer - "&amp;Dec!B5</f>
        <v>Event: Men's Hammer - Epsom &amp; Ewell</v>
      </c>
      <c r="B99" s="223"/>
      <c r="C99" s="223"/>
      <c r="D99" s="223"/>
      <c r="E99" s="223"/>
      <c r="F99" s="223" t="s">
        <v>863</v>
      </c>
      <c r="G99" s="223"/>
      <c r="H99" s="223"/>
      <c r="I99" s="223"/>
      <c r="J99" s="223" t="s">
        <v>814</v>
      </c>
      <c r="K99" s="223"/>
      <c r="L99" s="223"/>
      <c r="M99" s="223"/>
      <c r="N99" s="223"/>
      <c r="O99" s="223" t="s">
        <v>815</v>
      </c>
      <c r="P99" s="223"/>
      <c r="Q99" s="223"/>
      <c r="R99" s="223"/>
      <c r="S99" s="223"/>
      <c r="T99" s="223"/>
      <c r="U99" s="223"/>
      <c r="V99" s="223"/>
    </row>
    <row r="100" spans="1:22" ht="33.75" customHeight="1">
      <c r="A100" s="215" t="s">
        <v>816</v>
      </c>
      <c r="B100" s="217" t="s">
        <v>817</v>
      </c>
      <c r="C100" s="219" t="s">
        <v>862</v>
      </c>
      <c r="D100" s="220"/>
      <c r="E100" s="191" t="s">
        <v>818</v>
      </c>
      <c r="F100" s="191"/>
      <c r="G100" s="191" t="s">
        <v>819</v>
      </c>
      <c r="H100" s="191"/>
      <c r="I100" s="191" t="s">
        <v>820</v>
      </c>
      <c r="J100" s="191"/>
      <c r="K100" s="208" t="s">
        <v>821</v>
      </c>
      <c r="L100" s="208"/>
      <c r="M100" s="203" t="s">
        <v>822</v>
      </c>
      <c r="N100" s="208" t="s">
        <v>823</v>
      </c>
      <c r="O100" s="208"/>
      <c r="P100" s="208" t="s">
        <v>824</v>
      </c>
      <c r="Q100" s="208"/>
      <c r="R100" s="208" t="s">
        <v>825</v>
      </c>
      <c r="S100" s="211"/>
      <c r="T100" s="213" t="s">
        <v>826</v>
      </c>
      <c r="U100" s="214"/>
      <c r="V100" s="205" t="s">
        <v>827</v>
      </c>
    </row>
    <row r="101" spans="1:22" ht="24" customHeight="1">
      <c r="A101" s="216"/>
      <c r="B101" s="218"/>
      <c r="C101" s="221"/>
      <c r="D101" s="222"/>
      <c r="E101" s="207" t="s">
        <v>828</v>
      </c>
      <c r="F101" s="207"/>
      <c r="G101" s="207" t="s">
        <v>828</v>
      </c>
      <c r="H101" s="207"/>
      <c r="I101" s="207" t="s">
        <v>828</v>
      </c>
      <c r="J101" s="207"/>
      <c r="K101" s="207" t="s">
        <v>828</v>
      </c>
      <c r="L101" s="207"/>
      <c r="M101" s="204"/>
      <c r="N101" s="207" t="s">
        <v>828</v>
      </c>
      <c r="O101" s="207"/>
      <c r="P101" s="207" t="s">
        <v>828</v>
      </c>
      <c r="Q101" s="207"/>
      <c r="R101" s="207" t="s">
        <v>828</v>
      </c>
      <c r="S101" s="212"/>
      <c r="T101" s="209" t="s">
        <v>828</v>
      </c>
      <c r="U101" s="210"/>
      <c r="V101" s="206"/>
    </row>
    <row r="102" spans="1:22" ht="18.75" customHeight="1">
      <c r="A102" s="49">
        <v>1</v>
      </c>
      <c r="B102" s="50" t="str">
        <f>IF(VALUE(MID(Dec!$B$1,2,1))="","",VLOOKUP(VALUE(MID(Dec!$B$1,2,1)),MHammer,2))</f>
        <v>T</v>
      </c>
      <c r="C102" s="51" t="str">
        <f>IF(B102="","",IF(LEN(B102)=2,VLOOKUP(A97,MSB,VLOOKUP(LEFT(B102,1),Teams,6,FALSE),FALSE),VLOOKUP(A97,MSA,VLOOKUP(B102,Teams,6,FALSE),FALSE)))</f>
        <v>Martyn Ormerod</v>
      </c>
      <c r="D102" s="52" t="str">
        <f aca="true" t="shared" si="3" ref="D102:D109">IF(B102="","",VLOOKUP(LEFT(B102,1),Teams,2,FALSE))</f>
        <v>Tonbridge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53"/>
      <c r="T102" s="54"/>
      <c r="U102" s="55"/>
      <c r="V102" s="56"/>
    </row>
    <row r="103" spans="1:22" ht="18.75" customHeight="1">
      <c r="A103" s="49">
        <v>2</v>
      </c>
      <c r="B103" s="50" t="str">
        <f>IF(VALUE(MID(Dec!$B$1,2,1))="","",VLOOKUP(VALUE(MID(Dec!$B$1,2,1)),MHammer,3))</f>
        <v>R</v>
      </c>
      <c r="C103" s="51" t="str">
        <f>IF(B103="","",IF(LEN(B103)=2,VLOOKUP(A97,MSB,VLOOKUP(LEFT(B103,1),Teams,6,FALSE),FALSE),VLOOKUP(A97,MSA,VLOOKUP(B103,Teams,6,FALSE),FALSE)))</f>
        <v>Alistair Tuck</v>
      </c>
      <c r="D103" s="52" t="str">
        <f t="shared" si="3"/>
        <v>Team Dorset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53"/>
      <c r="T103" s="54"/>
      <c r="U103" s="55"/>
      <c r="V103" s="56"/>
    </row>
    <row r="104" spans="1:22" ht="18.75" customHeight="1">
      <c r="A104" s="49">
        <v>3</v>
      </c>
      <c r="B104" s="50" t="str">
        <f>IF(VALUE(MID(Dec!$B$1,2,1))="","",VLOOKUP(VALUE(MID(Dec!$B$1,2,1)),MHammer,4))</f>
        <v>Y</v>
      </c>
      <c r="C104" s="51" t="str">
        <f>IF(B104="","",IF(LEN(B104)=2,VLOOKUP(A97,MSB,VLOOKUP(LEFT(B104,1),Teams,6,FALSE),FALSE),VLOOKUP(A97,MSA,VLOOKUP(B104,Teams,6,FALSE),FALSE)))</f>
        <v>Matt Lasis </v>
      </c>
      <c r="D104" s="52" t="str">
        <f t="shared" si="3"/>
        <v>Crawley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53"/>
      <c r="T104" s="54"/>
      <c r="U104" s="55"/>
      <c r="V104" s="56"/>
    </row>
    <row r="105" spans="1:22" ht="18.75" customHeight="1">
      <c r="A105" s="49">
        <v>4</v>
      </c>
      <c r="B105" s="50" t="str">
        <f>IF(VALUE(MID(Dec!$B$1,2,1))="","",VLOOKUP(VALUE(MID(Dec!$B$1,2,1)),MHammer,5))</f>
        <v>E</v>
      </c>
      <c r="C105" s="51" t="str">
        <f>IF(B105="","",IF(LEN(B105)=2,VLOOKUP(A97,MSB,VLOOKUP(LEFT(B105,1),Teams,6,FALSE),FALSE),VLOOKUP(A97,MSA,VLOOKUP(B105,Teams,6,FALSE),FALSE)))</f>
        <v>Ian Frankish</v>
      </c>
      <c r="D105" s="52" t="str">
        <f t="shared" si="3"/>
        <v>Epsom &amp; Ewell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53"/>
      <c r="T105" s="54"/>
      <c r="U105" s="55"/>
      <c r="V105" s="56"/>
    </row>
    <row r="106" spans="1:22" ht="18.75" customHeight="1">
      <c r="A106" s="49">
        <v>5</v>
      </c>
      <c r="B106" s="50" t="str">
        <f>IF(VALUE(MID(Dec!$B$1,2,1))="","",VLOOKUP(VALUE(MID(Dec!$B$1,2,1)),MHammer,6))</f>
        <v>TT</v>
      </c>
      <c r="C106" s="51" t="str">
        <f>IF(B106="","",IF(LEN(B106)=2,VLOOKUP(A97,MSB,VLOOKUP(LEFT(B106,1),Teams,6,FALSE),FALSE),VLOOKUP(A97,MSA,VLOOKUP(B106,Teams,6,FALSE),FALSE)))</f>
        <v>Alex Hookway</v>
      </c>
      <c r="D106" s="52" t="str">
        <f t="shared" si="3"/>
        <v>Tonbridge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53"/>
      <c r="T106" s="54"/>
      <c r="U106" s="55"/>
      <c r="V106" s="56"/>
    </row>
    <row r="107" spans="1:22" ht="18.75" customHeight="1">
      <c r="A107" s="49">
        <v>6</v>
      </c>
      <c r="B107" s="50" t="str">
        <f>IF(VALUE(MID(Dec!$B$1,2,1))="","",VLOOKUP(VALUE(MID(Dec!$B$1,2,1)),MHammer,7))</f>
        <v>RR</v>
      </c>
      <c r="C107" s="51" t="str">
        <f>IF(B107="","",IF(LEN(B107)=2,VLOOKUP(A97,MSB,VLOOKUP(LEFT(B107,1),Teams,6,FALSE),FALSE),VLOOKUP(A97,MSA,VLOOKUP(B107,Teams,6,FALSE),FALSE)))</f>
        <v>Richard Wheeler</v>
      </c>
      <c r="D107" s="52" t="str">
        <f t="shared" si="3"/>
        <v>Team Dorset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53"/>
      <c r="T107" s="54"/>
      <c r="U107" s="55"/>
      <c r="V107" s="56"/>
    </row>
    <row r="108" spans="1:22" ht="18.75" customHeight="1">
      <c r="A108" s="49">
        <v>7</v>
      </c>
      <c r="B108" s="50" t="str">
        <f>IF(VALUE(MID(Dec!$B$1,2,1))="","",VLOOKUP(VALUE(MID(Dec!$B$1,2,1)),MHammer,8))</f>
        <v>YY</v>
      </c>
      <c r="C108" s="51" t="str">
        <f>IF(B108="","",IF(LEN(B108)=2,VLOOKUP(A97,MSB,VLOOKUP(LEFT(B108,1),Teams,6,FALSE),FALSE),VLOOKUP(A97,MSA,VLOOKUP(B108,Teams,6,FALSE),FALSE)))</f>
        <v>David Freeman </v>
      </c>
      <c r="D108" s="52" t="str">
        <f t="shared" si="3"/>
        <v>Crawley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53"/>
      <c r="T108" s="54"/>
      <c r="U108" s="55"/>
      <c r="V108" s="56"/>
    </row>
    <row r="109" spans="1:22" ht="18.75" customHeight="1">
      <c r="A109" s="49">
        <v>8</v>
      </c>
      <c r="B109" s="50" t="str">
        <f>IF(VALUE(MID(Dec!$B$1,2,1))="","",VLOOKUP(VALUE(MID(Dec!$B$1,2,1)),MHammer,9))</f>
        <v>EE</v>
      </c>
      <c r="C109" s="51" t="str">
        <f>IF(B109="","",IF(LEN(B109)=2,VLOOKUP(A97,MSB,VLOOKUP(LEFT(B109,1),Teams,6,FALSE),FALSE),VLOOKUP(A97,MSA,VLOOKUP(B109,Teams,6,FALSE),FALSE)))</f>
        <v>Brian Harlick</v>
      </c>
      <c r="D109" s="52" t="str">
        <f t="shared" si="3"/>
        <v>Epsom &amp; Ewell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53"/>
      <c r="T109" s="54"/>
      <c r="U109" s="55"/>
      <c r="V109" s="56"/>
    </row>
    <row r="110" spans="1:22" ht="18.75" customHeight="1">
      <c r="A110" s="49">
        <v>9</v>
      </c>
      <c r="B110" s="50"/>
      <c r="C110" s="51"/>
      <c r="D110" s="52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53"/>
      <c r="T110" s="54"/>
      <c r="U110" s="55"/>
      <c r="V110" s="56"/>
    </row>
    <row r="111" spans="1:22" ht="18.75" customHeight="1">
      <c r="A111" s="49">
        <v>10</v>
      </c>
      <c r="B111" s="50"/>
      <c r="C111" s="51"/>
      <c r="D111" s="52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53"/>
      <c r="T111" s="54"/>
      <c r="U111" s="55"/>
      <c r="V111" s="56"/>
    </row>
    <row r="112" spans="1:22" ht="18.75" customHeight="1">
      <c r="A112" s="49">
        <v>11</v>
      </c>
      <c r="B112" s="50"/>
      <c r="C112" s="51"/>
      <c r="D112" s="52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53"/>
      <c r="T112" s="54"/>
      <c r="U112" s="55"/>
      <c r="V112" s="56"/>
    </row>
    <row r="113" spans="1:22" ht="18.75" customHeight="1">
      <c r="A113" s="49">
        <v>12</v>
      </c>
      <c r="B113" s="50"/>
      <c r="C113" s="51"/>
      <c r="D113" s="52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53"/>
      <c r="T113" s="54"/>
      <c r="U113" s="55"/>
      <c r="V113" s="56"/>
    </row>
    <row r="114" spans="1:22" ht="18.75" customHeight="1">
      <c r="A114" s="49">
        <v>13</v>
      </c>
      <c r="B114" s="50"/>
      <c r="C114" s="51"/>
      <c r="D114" s="52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53"/>
      <c r="T114" s="54"/>
      <c r="U114" s="55"/>
      <c r="V114" s="56"/>
    </row>
    <row r="115" spans="1:22" ht="18.75" customHeight="1">
      <c r="A115" s="49">
        <v>14</v>
      </c>
      <c r="B115" s="50"/>
      <c r="C115" s="51"/>
      <c r="D115" s="52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53"/>
      <c r="T115" s="54"/>
      <c r="U115" s="55"/>
      <c r="V115" s="56"/>
    </row>
    <row r="116" spans="1:22" ht="18.75" customHeight="1">
      <c r="A116" s="49">
        <v>15</v>
      </c>
      <c r="B116" s="50"/>
      <c r="C116" s="51"/>
      <c r="D116" s="52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53"/>
      <c r="T116" s="54"/>
      <c r="U116" s="55"/>
      <c r="V116" s="56"/>
    </row>
    <row r="117" spans="1:22" ht="18.75" customHeight="1" thickBot="1">
      <c r="A117" s="57">
        <v>16</v>
      </c>
      <c r="B117" s="58"/>
      <c r="C117" s="51"/>
      <c r="D117" s="52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/>
      <c r="U117" s="62"/>
      <c r="V117" s="63"/>
    </row>
    <row r="118" ht="3.75" customHeight="1" thickBot="1"/>
    <row r="119" spans="1:22" ht="12">
      <c r="A119" s="192" t="s">
        <v>829</v>
      </c>
      <c r="B119" s="193"/>
      <c r="C119" s="193"/>
      <c r="D119" s="193"/>
      <c r="E119" s="193"/>
      <c r="F119" s="193"/>
      <c r="G119" s="194"/>
      <c r="H119" s="64" t="s">
        <v>830</v>
      </c>
      <c r="I119" s="195" t="s">
        <v>829</v>
      </c>
      <c r="J119" s="193"/>
      <c r="K119" s="193"/>
      <c r="L119" s="193"/>
      <c r="M119" s="193"/>
      <c r="N119" s="193"/>
      <c r="O119" s="193"/>
      <c r="P119" s="193"/>
      <c r="Q119" s="193"/>
      <c r="R119" s="193"/>
      <c r="S119" s="196"/>
      <c r="T119" s="197" t="s">
        <v>831</v>
      </c>
      <c r="U119" s="198"/>
      <c r="V119" s="199"/>
    </row>
    <row r="120" spans="1:22" ht="12">
      <c r="A120" s="54" t="s">
        <v>832</v>
      </c>
      <c r="B120" s="65" t="s">
        <v>833</v>
      </c>
      <c r="C120" s="48" t="s">
        <v>970</v>
      </c>
      <c r="D120" s="48" t="s">
        <v>971</v>
      </c>
      <c r="E120" s="200" t="s">
        <v>828</v>
      </c>
      <c r="F120" s="200"/>
      <c r="G120" s="65" t="s">
        <v>834</v>
      </c>
      <c r="H120" s="200" t="s">
        <v>832</v>
      </c>
      <c r="I120" s="200"/>
      <c r="J120" s="65" t="s">
        <v>833</v>
      </c>
      <c r="K120" s="183" t="s">
        <v>970</v>
      </c>
      <c r="L120" s="183"/>
      <c r="M120" s="183"/>
      <c r="N120" s="183" t="s">
        <v>971</v>
      </c>
      <c r="O120" s="183"/>
      <c r="P120" s="183"/>
      <c r="Q120" s="201" t="s">
        <v>828</v>
      </c>
      <c r="R120" s="202"/>
      <c r="S120" s="66" t="s">
        <v>834</v>
      </c>
      <c r="T120" s="177"/>
      <c r="U120" s="178"/>
      <c r="V120" s="179"/>
    </row>
    <row r="121" spans="1:22" ht="18.75" customHeight="1">
      <c r="A121" s="67" t="s">
        <v>835</v>
      </c>
      <c r="B121" s="46"/>
      <c r="C121" s="46"/>
      <c r="D121" s="46"/>
      <c r="E121" s="46"/>
      <c r="F121" s="46"/>
      <c r="G121" s="46"/>
      <c r="H121" s="183" t="s">
        <v>836</v>
      </c>
      <c r="I121" s="183"/>
      <c r="J121" s="46"/>
      <c r="K121" s="184"/>
      <c r="L121" s="185"/>
      <c r="M121" s="186"/>
      <c r="N121" s="184"/>
      <c r="O121" s="185"/>
      <c r="P121" s="186"/>
      <c r="Q121" s="46"/>
      <c r="R121" s="46"/>
      <c r="S121" s="53"/>
      <c r="T121" s="177"/>
      <c r="U121" s="178"/>
      <c r="V121" s="179"/>
    </row>
    <row r="122" spans="1:22" ht="18.75" customHeight="1">
      <c r="A122" s="67" t="s">
        <v>837</v>
      </c>
      <c r="B122" s="46"/>
      <c r="C122" s="46"/>
      <c r="D122" s="46"/>
      <c r="E122" s="46"/>
      <c r="F122" s="46"/>
      <c r="G122" s="46"/>
      <c r="H122" s="183" t="s">
        <v>838</v>
      </c>
      <c r="I122" s="183"/>
      <c r="J122" s="46"/>
      <c r="K122" s="184"/>
      <c r="L122" s="185"/>
      <c r="M122" s="186"/>
      <c r="N122" s="184"/>
      <c r="O122" s="185"/>
      <c r="P122" s="186"/>
      <c r="Q122" s="46"/>
      <c r="R122" s="46"/>
      <c r="S122" s="53"/>
      <c r="T122" s="177"/>
      <c r="U122" s="178"/>
      <c r="V122" s="179"/>
    </row>
    <row r="123" spans="1:22" ht="18.75" customHeight="1">
      <c r="A123" s="67" t="s">
        <v>839</v>
      </c>
      <c r="B123" s="46"/>
      <c r="C123" s="46"/>
      <c r="D123" s="46"/>
      <c r="E123" s="46"/>
      <c r="F123" s="46"/>
      <c r="G123" s="46"/>
      <c r="H123" s="183" t="s">
        <v>840</v>
      </c>
      <c r="I123" s="183"/>
      <c r="J123" s="46"/>
      <c r="K123" s="184"/>
      <c r="L123" s="185"/>
      <c r="M123" s="186"/>
      <c r="N123" s="184"/>
      <c r="O123" s="185"/>
      <c r="P123" s="186"/>
      <c r="Q123" s="46"/>
      <c r="R123" s="46"/>
      <c r="S123" s="53"/>
      <c r="T123" s="177"/>
      <c r="U123" s="178"/>
      <c r="V123" s="179"/>
    </row>
    <row r="124" spans="1:22" ht="18.75" customHeight="1">
      <c r="A124" s="67" t="s">
        <v>841</v>
      </c>
      <c r="B124" s="46"/>
      <c r="C124" s="46"/>
      <c r="D124" s="46"/>
      <c r="E124" s="46"/>
      <c r="F124" s="46"/>
      <c r="G124" s="46"/>
      <c r="H124" s="183" t="s">
        <v>842</v>
      </c>
      <c r="I124" s="183"/>
      <c r="J124" s="46"/>
      <c r="K124" s="184"/>
      <c r="L124" s="185"/>
      <c r="M124" s="186"/>
      <c r="N124" s="184"/>
      <c r="O124" s="185"/>
      <c r="P124" s="186"/>
      <c r="Q124" s="46"/>
      <c r="R124" s="46"/>
      <c r="S124" s="53"/>
      <c r="T124" s="177"/>
      <c r="U124" s="178"/>
      <c r="V124" s="179"/>
    </row>
    <row r="125" spans="1:22" ht="18.75" customHeight="1">
      <c r="A125" s="67" t="s">
        <v>843</v>
      </c>
      <c r="B125" s="46"/>
      <c r="C125" s="46"/>
      <c r="D125" s="46"/>
      <c r="E125" s="46"/>
      <c r="F125" s="46"/>
      <c r="G125" s="46"/>
      <c r="H125" s="183" t="s">
        <v>844</v>
      </c>
      <c r="I125" s="183"/>
      <c r="J125" s="46"/>
      <c r="K125" s="184"/>
      <c r="L125" s="185"/>
      <c r="M125" s="186"/>
      <c r="N125" s="184"/>
      <c r="O125" s="185"/>
      <c r="P125" s="186"/>
      <c r="Q125" s="46"/>
      <c r="R125" s="46"/>
      <c r="S125" s="53"/>
      <c r="T125" s="177"/>
      <c r="U125" s="178"/>
      <c r="V125" s="179"/>
    </row>
    <row r="126" spans="1:22" ht="18.75" customHeight="1">
      <c r="A126" s="67" t="s">
        <v>845</v>
      </c>
      <c r="B126" s="46"/>
      <c r="C126" s="46"/>
      <c r="D126" s="46"/>
      <c r="E126" s="46"/>
      <c r="F126" s="46"/>
      <c r="G126" s="46"/>
      <c r="H126" s="183" t="s">
        <v>846</v>
      </c>
      <c r="I126" s="183"/>
      <c r="J126" s="46"/>
      <c r="K126" s="184"/>
      <c r="L126" s="185"/>
      <c r="M126" s="186"/>
      <c r="N126" s="184"/>
      <c r="O126" s="185"/>
      <c r="P126" s="186"/>
      <c r="Q126" s="46"/>
      <c r="R126" s="46"/>
      <c r="S126" s="53"/>
      <c r="T126" s="177" t="s">
        <v>847</v>
      </c>
      <c r="U126" s="178"/>
      <c r="V126" s="179"/>
    </row>
    <row r="127" spans="1:22" ht="18.75" customHeight="1">
      <c r="A127" s="67" t="s">
        <v>848</v>
      </c>
      <c r="B127" s="46"/>
      <c r="C127" s="46"/>
      <c r="D127" s="46"/>
      <c r="E127" s="46"/>
      <c r="F127" s="46"/>
      <c r="G127" s="46"/>
      <c r="H127" s="183" t="s">
        <v>849</v>
      </c>
      <c r="I127" s="183"/>
      <c r="J127" s="46"/>
      <c r="K127" s="184"/>
      <c r="L127" s="185"/>
      <c r="M127" s="186"/>
      <c r="N127" s="184"/>
      <c r="O127" s="185"/>
      <c r="P127" s="186"/>
      <c r="Q127" s="46"/>
      <c r="R127" s="46"/>
      <c r="S127" s="53"/>
      <c r="T127" s="177"/>
      <c r="U127" s="178"/>
      <c r="V127" s="179"/>
    </row>
    <row r="128" spans="1:22" ht="18.75" customHeight="1" thickBot="1">
      <c r="A128" s="68" t="s">
        <v>850</v>
      </c>
      <c r="B128" s="59"/>
      <c r="C128" s="59"/>
      <c r="D128" s="59"/>
      <c r="E128" s="59"/>
      <c r="F128" s="59"/>
      <c r="G128" s="59"/>
      <c r="H128" s="187" t="s">
        <v>851</v>
      </c>
      <c r="I128" s="187"/>
      <c r="J128" s="59"/>
      <c r="K128" s="188"/>
      <c r="L128" s="189"/>
      <c r="M128" s="190"/>
      <c r="N128" s="188"/>
      <c r="O128" s="189"/>
      <c r="P128" s="190"/>
      <c r="Q128" s="59"/>
      <c r="R128" s="59"/>
      <c r="S128" s="60"/>
      <c r="T128" s="180"/>
      <c r="U128" s="181"/>
      <c r="V128" s="182"/>
    </row>
    <row r="129" ht="12">
      <c r="A129" t="s">
        <v>855</v>
      </c>
    </row>
    <row r="130" spans="1:22" ht="12">
      <c r="A130" s="176" t="s">
        <v>812</v>
      </c>
      <c r="B130" s="176"/>
      <c r="C130" s="176"/>
      <c r="D130" s="223" t="str">
        <f>"Date: "&amp;TEXT(Dec!D$3,"dd mmmm yyyy")</f>
        <v>Date: 21 June 2014</v>
      </c>
      <c r="E130" s="223"/>
      <c r="F130" s="223" t="s">
        <v>813</v>
      </c>
      <c r="G130" s="223"/>
      <c r="H130" s="223"/>
      <c r="I130" s="223"/>
      <c r="J130" s="223" t="str">
        <f>"Venue: "&amp;Dec!$B$3</f>
        <v>Venue: Kingston</v>
      </c>
      <c r="K130" s="223"/>
      <c r="L130" s="223"/>
      <c r="M130" s="223"/>
      <c r="N130" s="223"/>
      <c r="O130" s="223" t="s">
        <v>856</v>
      </c>
      <c r="P130" s="223"/>
      <c r="Q130" s="223"/>
      <c r="R130" s="223"/>
      <c r="S130" s="223"/>
      <c r="T130" s="223"/>
      <c r="U130" s="223"/>
      <c r="V130" s="223"/>
    </row>
    <row r="131" spans="1:22" ht="12.75" thickBot="1">
      <c r="A131" s="223" t="str">
        <f>"Event: Women's Shot - "&amp;Dec!B6</f>
        <v>Event: Women's Shot - Crawley</v>
      </c>
      <c r="B131" s="223"/>
      <c r="C131" s="223"/>
      <c r="D131" s="223"/>
      <c r="E131" s="223"/>
      <c r="F131" s="223" t="s">
        <v>864</v>
      </c>
      <c r="G131" s="223"/>
      <c r="H131" s="223"/>
      <c r="I131" s="223"/>
      <c r="J131" s="223" t="s">
        <v>814</v>
      </c>
      <c r="K131" s="223"/>
      <c r="L131" s="223"/>
      <c r="M131" s="223"/>
      <c r="N131" s="223"/>
      <c r="O131" s="223" t="s">
        <v>815</v>
      </c>
      <c r="P131" s="223"/>
      <c r="Q131" s="223"/>
      <c r="R131" s="223"/>
      <c r="S131" s="223"/>
      <c r="T131" s="223"/>
      <c r="U131" s="223"/>
      <c r="V131" s="223"/>
    </row>
    <row r="132" spans="1:22" ht="33.75" customHeight="1">
      <c r="A132" s="215" t="s">
        <v>816</v>
      </c>
      <c r="B132" s="217" t="s">
        <v>817</v>
      </c>
      <c r="C132" s="219" t="s">
        <v>862</v>
      </c>
      <c r="D132" s="220"/>
      <c r="E132" s="191" t="s">
        <v>818</v>
      </c>
      <c r="F132" s="191"/>
      <c r="G132" s="191" t="s">
        <v>819</v>
      </c>
      <c r="H132" s="191"/>
      <c r="I132" s="191" t="s">
        <v>820</v>
      </c>
      <c r="J132" s="191"/>
      <c r="K132" s="208" t="s">
        <v>821</v>
      </c>
      <c r="L132" s="208"/>
      <c r="M132" s="203" t="s">
        <v>822</v>
      </c>
      <c r="N132" s="208" t="s">
        <v>823</v>
      </c>
      <c r="O132" s="208"/>
      <c r="P132" s="208" t="s">
        <v>824</v>
      </c>
      <c r="Q132" s="208"/>
      <c r="R132" s="208" t="s">
        <v>825</v>
      </c>
      <c r="S132" s="211"/>
      <c r="T132" s="213" t="s">
        <v>826</v>
      </c>
      <c r="U132" s="214"/>
      <c r="V132" s="205" t="s">
        <v>827</v>
      </c>
    </row>
    <row r="133" spans="1:22" ht="24" customHeight="1">
      <c r="A133" s="216"/>
      <c r="B133" s="218"/>
      <c r="C133" s="221"/>
      <c r="D133" s="222"/>
      <c r="E133" s="207" t="s">
        <v>828</v>
      </c>
      <c r="F133" s="207"/>
      <c r="G133" s="207" t="s">
        <v>828</v>
      </c>
      <c r="H133" s="207"/>
      <c r="I133" s="207" t="s">
        <v>828</v>
      </c>
      <c r="J133" s="207"/>
      <c r="K133" s="207" t="s">
        <v>828</v>
      </c>
      <c r="L133" s="207"/>
      <c r="M133" s="204"/>
      <c r="N133" s="207" t="s">
        <v>828</v>
      </c>
      <c r="O133" s="207"/>
      <c r="P133" s="207" t="s">
        <v>828</v>
      </c>
      <c r="Q133" s="207"/>
      <c r="R133" s="207" t="s">
        <v>828</v>
      </c>
      <c r="S133" s="212"/>
      <c r="T133" s="209" t="s">
        <v>828</v>
      </c>
      <c r="U133" s="210"/>
      <c r="V133" s="206"/>
    </row>
    <row r="134" spans="1:22" ht="18.75" customHeight="1">
      <c r="A134" s="49">
        <v>1</v>
      </c>
      <c r="B134" s="50" t="str">
        <f>IF(VALUE(MID(Dec!$B$1,2,1))="","",VLOOKUP(VALUE(MID(Dec!$B$1,2,1)),WShot,2))</f>
        <v>T</v>
      </c>
      <c r="C134" s="51" t="str">
        <f>IF(B134="","",IF(LEN(B134)=2,VLOOKUP(A129,WSB,VLOOKUP(LEFT(B134,1),Teams,6,FALSE),FALSE),VLOOKUP(A129,WSA,VLOOKUP(B134,Teams,6,FALSE),FALSE)))</f>
        <v>Chelsey Eyers</v>
      </c>
      <c r="D134" s="52" t="str">
        <f aca="true" t="shared" si="4" ref="D134:D141">IF(B134="","",VLOOKUP(LEFT(B134,1),Teams,2,FALSE))</f>
        <v>Tonbridge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53"/>
      <c r="T134" s="54"/>
      <c r="U134" s="55"/>
      <c r="V134" s="56"/>
    </row>
    <row r="135" spans="1:22" ht="18.75" customHeight="1">
      <c r="A135" s="49">
        <v>2</v>
      </c>
      <c r="B135" s="50" t="str">
        <f>IF(VALUE(MID(Dec!$B$1,2,1))="","",VLOOKUP(VALUE(MID(Dec!$B$1,2,1)),WShot,3))</f>
        <v>R</v>
      </c>
      <c r="C135" s="51" t="str">
        <f>IF(B135="","",IF(LEN(B135)=2,VLOOKUP(A129,WSB,VLOOKUP(LEFT(B135,1),Teams,6,FALSE),FALSE),VLOOKUP(A129,WSA,VLOOKUP(B135,Teams,6,FALSE),FALSE)))</f>
        <v>Bobbie-louise Gannon</v>
      </c>
      <c r="D135" s="52" t="str">
        <f t="shared" si="4"/>
        <v>Team Dorset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53"/>
      <c r="T135" s="54"/>
      <c r="U135" s="55"/>
      <c r="V135" s="56"/>
    </row>
    <row r="136" spans="1:22" ht="18.75" customHeight="1">
      <c r="A136" s="49">
        <v>3</v>
      </c>
      <c r="B136" s="50" t="str">
        <f>IF(VALUE(MID(Dec!$B$1,2,1))="","",VLOOKUP(VALUE(MID(Dec!$B$1,2,1)),WShot,4))</f>
        <v>Y</v>
      </c>
      <c r="C136" s="51" t="str">
        <f>IF(B136="","",IF(LEN(B136)=2,VLOOKUP(A129,WSB,VLOOKUP(LEFT(B136,1),Teams,6,FALSE),FALSE),VLOOKUP(A129,WSA,VLOOKUP(B136,Teams,6,FALSE),FALSE)))</f>
        <v>Jo Rowland</v>
      </c>
      <c r="D136" s="52" t="str">
        <f t="shared" si="4"/>
        <v>Crawley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53"/>
      <c r="T136" s="54"/>
      <c r="U136" s="55"/>
      <c r="V136" s="56"/>
    </row>
    <row r="137" spans="1:22" ht="18.75" customHeight="1">
      <c r="A137" s="49">
        <v>4</v>
      </c>
      <c r="B137" s="50" t="str">
        <f>IF(VALUE(MID(Dec!$B$1,2,1))="","",VLOOKUP(VALUE(MID(Dec!$B$1,2,1)),WShot,5))</f>
        <v>E</v>
      </c>
      <c r="C137" s="51" t="str">
        <f>IF(B137="","",IF(LEN(B137)=2,VLOOKUP(A129,WSB,VLOOKUP(LEFT(B137,1),Teams,6,FALSE),FALSE),VLOOKUP(A129,WSA,VLOOKUP(B137,Teams,6,FALSE),FALSE)))</f>
        <v>Diana Norman</v>
      </c>
      <c r="D137" s="52" t="str">
        <f t="shared" si="4"/>
        <v>Epsom &amp; Ewell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53"/>
      <c r="T137" s="54"/>
      <c r="U137" s="55"/>
      <c r="V137" s="56"/>
    </row>
    <row r="138" spans="1:22" ht="18.75" customHeight="1">
      <c r="A138" s="49">
        <v>5</v>
      </c>
      <c r="B138" s="50" t="str">
        <f>IF(VALUE(MID(Dec!$B$1,2,1))="","",VLOOKUP(VALUE(MID(Dec!$B$1,2,1)),WShot,6))</f>
        <v>TT</v>
      </c>
      <c r="C138" s="51" t="str">
        <f>IF(B138="","",IF(LEN(B138)=2,VLOOKUP(A129,WSB,VLOOKUP(LEFT(B138,1),Teams,6,FALSE),FALSE),VLOOKUP(A129,WSA,VLOOKUP(B138,Teams,6,FALSE),FALSE)))</f>
        <v>Nicola Dobra</v>
      </c>
      <c r="D138" s="52" t="str">
        <f t="shared" si="4"/>
        <v>Tonbridge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53"/>
      <c r="T138" s="54"/>
      <c r="U138" s="55"/>
      <c r="V138" s="56"/>
    </row>
    <row r="139" spans="1:22" ht="18.75" customHeight="1">
      <c r="A139" s="49">
        <v>6</v>
      </c>
      <c r="B139" s="50" t="str">
        <f>IF(VALUE(MID(Dec!$B$1,2,1))="","",VLOOKUP(VALUE(MID(Dec!$B$1,2,1)),WShot,7))</f>
        <v>RR</v>
      </c>
      <c r="C139" s="51" t="str">
        <f>IF(B139="","",IF(LEN(B139)=2,VLOOKUP(A129,WSB,VLOOKUP(LEFT(B139,1),Teams,6,FALSE),FALSE),VLOOKUP(A129,WSA,VLOOKUP(B139,Teams,6,FALSE),FALSE)))</f>
        <v>Jess May</v>
      </c>
      <c r="D139" s="52" t="str">
        <f t="shared" si="4"/>
        <v>Team Dorset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53"/>
      <c r="T139" s="54"/>
      <c r="U139" s="55"/>
      <c r="V139" s="56"/>
    </row>
    <row r="140" spans="1:22" ht="18.75" customHeight="1">
      <c r="A140" s="49">
        <v>7</v>
      </c>
      <c r="B140" s="50" t="str">
        <f>IF(VALUE(MID(Dec!$B$1,2,1))="","",VLOOKUP(VALUE(MID(Dec!$B$1,2,1)),WShot,8))</f>
        <v>YY</v>
      </c>
      <c r="C140" s="51" t="str">
        <f>IF(B140="","",IF(LEN(B140)=2,VLOOKUP(A129,WSB,VLOOKUP(LEFT(B140,1),Teams,6,FALSE),FALSE),VLOOKUP(A129,WSA,VLOOKUP(B140,Teams,6,FALSE),FALSE)))</f>
        <v>Rebecca Baines</v>
      </c>
      <c r="D140" s="52" t="str">
        <f t="shared" si="4"/>
        <v>Crawley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53"/>
      <c r="T140" s="54"/>
      <c r="U140" s="55"/>
      <c r="V140" s="56"/>
    </row>
    <row r="141" spans="1:22" ht="18.75" customHeight="1">
      <c r="A141" s="49">
        <v>8</v>
      </c>
      <c r="B141" s="50" t="str">
        <f>IF(VALUE(MID(Dec!$B$1,2,1))="","",VLOOKUP(VALUE(MID(Dec!$B$1,2,1)),WShot,9))</f>
        <v>EE</v>
      </c>
      <c r="C141" s="51" t="str">
        <f>IF(B141="","",IF(LEN(B141)=2,VLOOKUP(A129,WSB,VLOOKUP(LEFT(B141,1),Teams,6,FALSE),FALSE),VLOOKUP(A129,WSA,VLOOKUP(B141,Teams,6,FALSE),FALSE)))</f>
        <v>Jordyn Robinson</v>
      </c>
      <c r="D141" s="52" t="str">
        <f t="shared" si="4"/>
        <v>Epsom &amp; Ewell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53"/>
      <c r="T141" s="54"/>
      <c r="U141" s="55"/>
      <c r="V141" s="56"/>
    </row>
    <row r="142" spans="1:22" ht="18.75" customHeight="1">
      <c r="A142" s="49">
        <v>9</v>
      </c>
      <c r="B142" s="50"/>
      <c r="C142" s="51"/>
      <c r="D142" s="52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53"/>
      <c r="T142" s="54"/>
      <c r="U142" s="55"/>
      <c r="V142" s="56"/>
    </row>
    <row r="143" spans="1:22" ht="18.75" customHeight="1">
      <c r="A143" s="49">
        <v>10</v>
      </c>
      <c r="B143" s="50"/>
      <c r="C143" s="51"/>
      <c r="D143" s="52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53"/>
      <c r="T143" s="54"/>
      <c r="U143" s="55"/>
      <c r="V143" s="56"/>
    </row>
    <row r="144" spans="1:22" ht="18.75" customHeight="1">
      <c r="A144" s="49">
        <v>11</v>
      </c>
      <c r="B144" s="50"/>
      <c r="C144" s="51"/>
      <c r="D144" s="52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53"/>
      <c r="T144" s="54"/>
      <c r="U144" s="55"/>
      <c r="V144" s="56"/>
    </row>
    <row r="145" spans="1:22" ht="18.75" customHeight="1">
      <c r="A145" s="49">
        <v>12</v>
      </c>
      <c r="B145" s="50"/>
      <c r="C145" s="51"/>
      <c r="D145" s="52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53"/>
      <c r="T145" s="54"/>
      <c r="U145" s="55"/>
      <c r="V145" s="56"/>
    </row>
    <row r="146" spans="1:22" ht="18.75" customHeight="1">
      <c r="A146" s="49">
        <v>13</v>
      </c>
      <c r="B146" s="50"/>
      <c r="C146" s="51"/>
      <c r="D146" s="52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53"/>
      <c r="T146" s="54"/>
      <c r="U146" s="55"/>
      <c r="V146" s="56"/>
    </row>
    <row r="147" spans="1:22" ht="18.75" customHeight="1">
      <c r="A147" s="49">
        <v>14</v>
      </c>
      <c r="B147" s="50"/>
      <c r="C147" s="51"/>
      <c r="D147" s="52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53"/>
      <c r="T147" s="54"/>
      <c r="U147" s="55"/>
      <c r="V147" s="56"/>
    </row>
    <row r="148" spans="1:22" ht="18.75" customHeight="1">
      <c r="A148" s="49">
        <v>15</v>
      </c>
      <c r="B148" s="50"/>
      <c r="C148" s="51"/>
      <c r="D148" s="52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53"/>
      <c r="T148" s="54"/>
      <c r="U148" s="55"/>
      <c r="V148" s="56"/>
    </row>
    <row r="149" spans="1:22" ht="18.75" customHeight="1" thickBot="1">
      <c r="A149" s="57">
        <v>16</v>
      </c>
      <c r="B149" s="58"/>
      <c r="C149" s="51"/>
      <c r="D149" s="52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/>
      <c r="U149" s="62"/>
      <c r="V149" s="63"/>
    </row>
    <row r="150" ht="4.5" customHeight="1" thickBot="1"/>
    <row r="151" spans="1:22" ht="12">
      <c r="A151" s="192" t="s">
        <v>829</v>
      </c>
      <c r="B151" s="193"/>
      <c r="C151" s="193"/>
      <c r="D151" s="193"/>
      <c r="E151" s="193"/>
      <c r="F151" s="193"/>
      <c r="G151" s="194"/>
      <c r="H151" s="64" t="s">
        <v>830</v>
      </c>
      <c r="I151" s="195" t="s">
        <v>829</v>
      </c>
      <c r="J151" s="193"/>
      <c r="K151" s="193"/>
      <c r="L151" s="193"/>
      <c r="M151" s="193"/>
      <c r="N151" s="193"/>
      <c r="O151" s="193"/>
      <c r="P151" s="193"/>
      <c r="Q151" s="193"/>
      <c r="R151" s="193"/>
      <c r="S151" s="196"/>
      <c r="T151" s="197" t="s">
        <v>831</v>
      </c>
      <c r="U151" s="198"/>
      <c r="V151" s="199"/>
    </row>
    <row r="152" spans="1:22" ht="12">
      <c r="A152" s="54" t="s">
        <v>832</v>
      </c>
      <c r="B152" s="65" t="s">
        <v>833</v>
      </c>
      <c r="C152" s="48" t="s">
        <v>970</v>
      </c>
      <c r="D152" s="48" t="s">
        <v>971</v>
      </c>
      <c r="E152" s="200" t="s">
        <v>828</v>
      </c>
      <c r="F152" s="200"/>
      <c r="G152" s="65" t="s">
        <v>834</v>
      </c>
      <c r="H152" s="200" t="s">
        <v>832</v>
      </c>
      <c r="I152" s="200"/>
      <c r="J152" s="65" t="s">
        <v>833</v>
      </c>
      <c r="K152" s="183" t="s">
        <v>970</v>
      </c>
      <c r="L152" s="183"/>
      <c r="M152" s="183"/>
      <c r="N152" s="183" t="s">
        <v>971</v>
      </c>
      <c r="O152" s="183"/>
      <c r="P152" s="183"/>
      <c r="Q152" s="201" t="s">
        <v>828</v>
      </c>
      <c r="R152" s="202"/>
      <c r="S152" s="66" t="s">
        <v>834</v>
      </c>
      <c r="T152" s="177"/>
      <c r="U152" s="178"/>
      <c r="V152" s="179"/>
    </row>
    <row r="153" spans="1:22" ht="18.75" customHeight="1">
      <c r="A153" s="67" t="s">
        <v>835</v>
      </c>
      <c r="B153" s="46"/>
      <c r="C153" s="46"/>
      <c r="D153" s="46"/>
      <c r="E153" s="46"/>
      <c r="F153" s="46"/>
      <c r="G153" s="46"/>
      <c r="H153" s="183" t="s">
        <v>836</v>
      </c>
      <c r="I153" s="183"/>
      <c r="J153" s="46"/>
      <c r="K153" s="184"/>
      <c r="L153" s="185"/>
      <c r="M153" s="186"/>
      <c r="N153" s="184"/>
      <c r="O153" s="185"/>
      <c r="P153" s="186"/>
      <c r="Q153" s="46"/>
      <c r="R153" s="46"/>
      <c r="S153" s="53"/>
      <c r="T153" s="177"/>
      <c r="U153" s="178"/>
      <c r="V153" s="179"/>
    </row>
    <row r="154" spans="1:22" ht="18.75" customHeight="1">
      <c r="A154" s="67" t="s">
        <v>837</v>
      </c>
      <c r="B154" s="46"/>
      <c r="C154" s="46"/>
      <c r="D154" s="46"/>
      <c r="E154" s="46"/>
      <c r="F154" s="46"/>
      <c r="G154" s="46"/>
      <c r="H154" s="183" t="s">
        <v>838</v>
      </c>
      <c r="I154" s="183"/>
      <c r="J154" s="46"/>
      <c r="K154" s="184"/>
      <c r="L154" s="185"/>
      <c r="M154" s="186"/>
      <c r="N154" s="184"/>
      <c r="O154" s="185"/>
      <c r="P154" s="186"/>
      <c r="Q154" s="46"/>
      <c r="R154" s="46"/>
      <c r="S154" s="53"/>
      <c r="T154" s="177"/>
      <c r="U154" s="178"/>
      <c r="V154" s="179"/>
    </row>
    <row r="155" spans="1:22" ht="18.75" customHeight="1">
      <c r="A155" s="67" t="s">
        <v>839</v>
      </c>
      <c r="B155" s="46"/>
      <c r="C155" s="46"/>
      <c r="D155" s="46"/>
      <c r="E155" s="46"/>
      <c r="F155" s="46"/>
      <c r="G155" s="46"/>
      <c r="H155" s="183" t="s">
        <v>840</v>
      </c>
      <c r="I155" s="183"/>
      <c r="J155" s="46"/>
      <c r="K155" s="184"/>
      <c r="L155" s="185"/>
      <c r="M155" s="186"/>
      <c r="N155" s="184"/>
      <c r="O155" s="185"/>
      <c r="P155" s="186"/>
      <c r="Q155" s="46"/>
      <c r="R155" s="46"/>
      <c r="S155" s="53"/>
      <c r="T155" s="177"/>
      <c r="U155" s="178"/>
      <c r="V155" s="179"/>
    </row>
    <row r="156" spans="1:22" ht="18.75" customHeight="1">
      <c r="A156" s="67" t="s">
        <v>841</v>
      </c>
      <c r="B156" s="46"/>
      <c r="C156" s="46"/>
      <c r="D156" s="46"/>
      <c r="E156" s="46"/>
      <c r="F156" s="46"/>
      <c r="G156" s="46"/>
      <c r="H156" s="183" t="s">
        <v>842</v>
      </c>
      <c r="I156" s="183"/>
      <c r="J156" s="46"/>
      <c r="K156" s="184"/>
      <c r="L156" s="185"/>
      <c r="M156" s="186"/>
      <c r="N156" s="184"/>
      <c r="O156" s="185"/>
      <c r="P156" s="186"/>
      <c r="Q156" s="46"/>
      <c r="R156" s="46"/>
      <c r="S156" s="53"/>
      <c r="T156" s="177"/>
      <c r="U156" s="178"/>
      <c r="V156" s="179"/>
    </row>
    <row r="157" spans="1:22" ht="18.75" customHeight="1">
      <c r="A157" s="67" t="s">
        <v>843</v>
      </c>
      <c r="B157" s="46"/>
      <c r="C157" s="46"/>
      <c r="D157" s="46"/>
      <c r="E157" s="46"/>
      <c r="F157" s="46"/>
      <c r="G157" s="46"/>
      <c r="H157" s="183" t="s">
        <v>844</v>
      </c>
      <c r="I157" s="183"/>
      <c r="J157" s="46"/>
      <c r="K157" s="184"/>
      <c r="L157" s="185"/>
      <c r="M157" s="186"/>
      <c r="N157" s="184"/>
      <c r="O157" s="185"/>
      <c r="P157" s="186"/>
      <c r="Q157" s="46"/>
      <c r="R157" s="46"/>
      <c r="S157" s="53"/>
      <c r="T157" s="177"/>
      <c r="U157" s="178"/>
      <c r="V157" s="179"/>
    </row>
    <row r="158" spans="1:22" ht="18.75" customHeight="1">
      <c r="A158" s="67" t="s">
        <v>845</v>
      </c>
      <c r="B158" s="46"/>
      <c r="C158" s="46"/>
      <c r="D158" s="46"/>
      <c r="E158" s="46"/>
      <c r="F158" s="46"/>
      <c r="G158" s="46"/>
      <c r="H158" s="183" t="s">
        <v>846</v>
      </c>
      <c r="I158" s="183"/>
      <c r="J158" s="46"/>
      <c r="K158" s="184"/>
      <c r="L158" s="185"/>
      <c r="M158" s="186"/>
      <c r="N158" s="184"/>
      <c r="O158" s="185"/>
      <c r="P158" s="186"/>
      <c r="Q158" s="46"/>
      <c r="R158" s="46"/>
      <c r="S158" s="53"/>
      <c r="T158" s="177" t="s">
        <v>847</v>
      </c>
      <c r="U158" s="178"/>
      <c r="V158" s="179"/>
    </row>
    <row r="159" spans="1:22" ht="18.75" customHeight="1">
      <c r="A159" s="67" t="s">
        <v>848</v>
      </c>
      <c r="B159" s="46"/>
      <c r="C159" s="46"/>
      <c r="D159" s="46"/>
      <c r="E159" s="46"/>
      <c r="F159" s="46"/>
      <c r="G159" s="46"/>
      <c r="H159" s="183" t="s">
        <v>849</v>
      </c>
      <c r="I159" s="183"/>
      <c r="J159" s="46"/>
      <c r="K159" s="184"/>
      <c r="L159" s="185"/>
      <c r="M159" s="186"/>
      <c r="N159" s="184"/>
      <c r="O159" s="185"/>
      <c r="P159" s="186"/>
      <c r="Q159" s="46"/>
      <c r="R159" s="46"/>
      <c r="S159" s="53"/>
      <c r="T159" s="177"/>
      <c r="U159" s="178"/>
      <c r="V159" s="179"/>
    </row>
    <row r="160" spans="1:22" ht="18.75" customHeight="1" thickBot="1">
      <c r="A160" s="68" t="s">
        <v>850</v>
      </c>
      <c r="B160" s="59"/>
      <c r="C160" s="59"/>
      <c r="D160" s="59"/>
      <c r="E160" s="59"/>
      <c r="F160" s="59"/>
      <c r="G160" s="59"/>
      <c r="H160" s="187" t="s">
        <v>851</v>
      </c>
      <c r="I160" s="187"/>
      <c r="J160" s="59"/>
      <c r="K160" s="188"/>
      <c r="L160" s="189"/>
      <c r="M160" s="190"/>
      <c r="N160" s="188"/>
      <c r="O160" s="189"/>
      <c r="P160" s="190"/>
      <c r="Q160" s="59"/>
      <c r="R160" s="59"/>
      <c r="S160" s="60"/>
      <c r="T160" s="180"/>
      <c r="U160" s="181"/>
      <c r="V160" s="182"/>
    </row>
    <row r="161" ht="12">
      <c r="A161" t="s">
        <v>900</v>
      </c>
    </row>
    <row r="162" spans="1:22" ht="12">
      <c r="A162" s="176" t="s">
        <v>812</v>
      </c>
      <c r="B162" s="176"/>
      <c r="C162" s="176"/>
      <c r="D162" s="223" t="str">
        <f>"Date: "&amp;TEXT(Dec!D$3,"dd mmmm yyyy")</f>
        <v>Date: 21 June 2014</v>
      </c>
      <c r="E162" s="223"/>
      <c r="F162" s="223" t="s">
        <v>813</v>
      </c>
      <c r="G162" s="223"/>
      <c r="H162" s="223"/>
      <c r="I162" s="223"/>
      <c r="J162" s="223" t="str">
        <f>"Venue: "&amp;Dec!$B$3</f>
        <v>Venue: Kingston</v>
      </c>
      <c r="K162" s="223"/>
      <c r="L162" s="223"/>
      <c r="M162" s="223"/>
      <c r="N162" s="223"/>
      <c r="O162" s="223" t="s">
        <v>856</v>
      </c>
      <c r="P162" s="223"/>
      <c r="Q162" s="223"/>
      <c r="R162" s="223"/>
      <c r="S162" s="223"/>
      <c r="T162" s="223"/>
      <c r="U162" s="223"/>
      <c r="V162" s="223"/>
    </row>
    <row r="163" spans="1:22" ht="12.75" thickBot="1">
      <c r="A163" s="223" t="str">
        <f>"Event: Men's Long Jump - "&amp;Dec!B7</f>
        <v>Event: Men's Long Jump - Team Dorset</v>
      </c>
      <c r="B163" s="223"/>
      <c r="C163" s="223"/>
      <c r="D163" s="223"/>
      <c r="E163" s="223"/>
      <c r="F163" s="223" t="s">
        <v>494</v>
      </c>
      <c r="G163" s="223"/>
      <c r="H163" s="223"/>
      <c r="I163" s="223"/>
      <c r="J163" s="223" t="s">
        <v>814</v>
      </c>
      <c r="K163" s="223"/>
      <c r="L163" s="223"/>
      <c r="M163" s="223"/>
      <c r="N163" s="223"/>
      <c r="O163" s="223" t="s">
        <v>815</v>
      </c>
      <c r="P163" s="223"/>
      <c r="Q163" s="223"/>
      <c r="R163" s="223"/>
      <c r="S163" s="223"/>
      <c r="T163" s="223"/>
      <c r="U163" s="223"/>
      <c r="V163" s="223"/>
    </row>
    <row r="164" spans="1:22" ht="33.75" customHeight="1">
      <c r="A164" s="215" t="s">
        <v>816</v>
      </c>
      <c r="B164" s="217" t="s">
        <v>817</v>
      </c>
      <c r="C164" s="219" t="s">
        <v>862</v>
      </c>
      <c r="D164" s="220"/>
      <c r="E164" s="191" t="s">
        <v>818</v>
      </c>
      <c r="F164" s="191"/>
      <c r="G164" s="191" t="s">
        <v>819</v>
      </c>
      <c r="H164" s="191"/>
      <c r="I164" s="191" t="s">
        <v>820</v>
      </c>
      <c r="J164" s="191"/>
      <c r="K164" s="208" t="s">
        <v>821</v>
      </c>
      <c r="L164" s="208"/>
      <c r="M164" s="203" t="s">
        <v>822</v>
      </c>
      <c r="N164" s="208" t="s">
        <v>823</v>
      </c>
      <c r="O164" s="208"/>
      <c r="P164" s="208" t="s">
        <v>824</v>
      </c>
      <c r="Q164" s="208"/>
      <c r="R164" s="208" t="s">
        <v>825</v>
      </c>
      <c r="S164" s="211"/>
      <c r="T164" s="213" t="s">
        <v>826</v>
      </c>
      <c r="U164" s="214"/>
      <c r="V164" s="205" t="s">
        <v>827</v>
      </c>
    </row>
    <row r="165" spans="1:22" ht="24" customHeight="1">
      <c r="A165" s="216"/>
      <c r="B165" s="218"/>
      <c r="C165" s="221"/>
      <c r="D165" s="222"/>
      <c r="E165" s="207" t="s">
        <v>828</v>
      </c>
      <c r="F165" s="207"/>
      <c r="G165" s="207" t="s">
        <v>828</v>
      </c>
      <c r="H165" s="207"/>
      <c r="I165" s="207" t="s">
        <v>828</v>
      </c>
      <c r="J165" s="207"/>
      <c r="K165" s="207" t="s">
        <v>828</v>
      </c>
      <c r="L165" s="207"/>
      <c r="M165" s="204"/>
      <c r="N165" s="207" t="s">
        <v>828</v>
      </c>
      <c r="O165" s="207"/>
      <c r="P165" s="207" t="s">
        <v>828</v>
      </c>
      <c r="Q165" s="207"/>
      <c r="R165" s="207" t="s">
        <v>828</v>
      </c>
      <c r="S165" s="212"/>
      <c r="T165" s="209" t="s">
        <v>828</v>
      </c>
      <c r="U165" s="210"/>
      <c r="V165" s="206"/>
    </row>
    <row r="166" spans="1:22" ht="18.75" customHeight="1">
      <c r="A166" s="49">
        <v>1</v>
      </c>
      <c r="B166" s="50" t="str">
        <f>IF(VALUE(MID(Dec!$B$1,2,1))="","",VLOOKUP(VALUE(MID(Dec!$B$1,2,1)),MLong_Jump,2))</f>
        <v>E</v>
      </c>
      <c r="C166" s="51" t="str">
        <f>IF(B166="","",IF(LEN(B166)=2,VLOOKUP(A161,MSB,VLOOKUP(LEFT(B166,1),Teams,6,FALSE),FALSE),VLOOKUP(A161,MSA,VLOOKUP(B166,Teams,6,FALSE),FALSE)))</f>
        <v>Martin Lay</v>
      </c>
      <c r="D166" s="52" t="str">
        <f aca="true" t="shared" si="5" ref="D166:D173">IF(B166="","",VLOOKUP(LEFT(B166,1),Teams,2,FALSE))</f>
        <v>Epsom &amp; Ewell</v>
      </c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53"/>
      <c r="T166" s="54"/>
      <c r="U166" s="55"/>
      <c r="V166" s="56"/>
    </row>
    <row r="167" spans="1:22" ht="18.75" customHeight="1">
      <c r="A167" s="49">
        <v>2</v>
      </c>
      <c r="B167" s="50" t="str">
        <f>IF(VALUE(MID(Dec!$B$1,2,1))="","",VLOOKUP(VALUE(MID(Dec!$B$1,2,1)),MLong_Jump,3))</f>
        <v>Y</v>
      </c>
      <c r="C167" s="51" t="str">
        <f>IF(B167="","",IF(LEN(B167)=2,VLOOKUP(A161,MSB,VLOOKUP(LEFT(B167,1),Teams,6,FALSE),FALSE),VLOOKUP(A161,MSA,VLOOKUP(B167,Teams,6,FALSE),FALSE)))</f>
        <v>Jamie Moore </v>
      </c>
      <c r="D167" s="52" t="str">
        <f t="shared" si="5"/>
        <v>Crawley</v>
      </c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53"/>
      <c r="T167" s="54"/>
      <c r="U167" s="55"/>
      <c r="V167" s="56"/>
    </row>
    <row r="168" spans="1:22" ht="18.75" customHeight="1">
      <c r="A168" s="49">
        <v>3</v>
      </c>
      <c r="B168" s="50" t="str">
        <f>IF(VALUE(MID(Dec!$B$1,2,1))="","",VLOOKUP(VALUE(MID(Dec!$B$1,2,1)),MLong_Jump,4))</f>
        <v>R</v>
      </c>
      <c r="C168" s="51" t="str">
        <f>IF(B168="","",IF(LEN(B168)=2,VLOOKUP(A161,MSB,VLOOKUP(LEFT(B168,1),Teams,6,FALSE),FALSE),VLOOKUP(A161,MSA,VLOOKUP(B168,Teams,6,FALSE),FALSE)))</f>
        <v>Jack Roach</v>
      </c>
      <c r="D168" s="52" t="str">
        <f t="shared" si="5"/>
        <v>Team Dorset</v>
      </c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53"/>
      <c r="T168" s="54"/>
      <c r="U168" s="55"/>
      <c r="V168" s="56"/>
    </row>
    <row r="169" spans="1:22" ht="18.75" customHeight="1">
      <c r="A169" s="49">
        <v>4</v>
      </c>
      <c r="B169" s="50" t="str">
        <f>IF(VALUE(MID(Dec!$B$1,2,1))="","",VLOOKUP(VALUE(MID(Dec!$B$1,2,1)),MLong_Jump,5))</f>
        <v>T</v>
      </c>
      <c r="C169" s="51" t="str">
        <f>IF(B169="","",IF(LEN(B169)=2,VLOOKUP(A161,MSB,VLOOKUP(LEFT(B169,1),Teams,6,FALSE),FALSE),VLOOKUP(A161,MSA,VLOOKUP(B169,Teams,6,FALSE),FALSE)))</f>
        <v>Lewis Church</v>
      </c>
      <c r="D169" s="52" t="str">
        <f t="shared" si="5"/>
        <v>Tonbridge</v>
      </c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53"/>
      <c r="T169" s="54"/>
      <c r="U169" s="55"/>
      <c r="V169" s="56"/>
    </row>
    <row r="170" spans="1:22" ht="18.75" customHeight="1">
      <c r="A170" s="49">
        <v>5</v>
      </c>
      <c r="B170" s="50" t="str">
        <f>IF(VALUE(MID(Dec!$B$1,2,1))="","",VLOOKUP(VALUE(MID(Dec!$B$1,2,1)),MLong_Jump,6))</f>
        <v>EE</v>
      </c>
      <c r="C170" s="51" t="str">
        <f>IF(B170="","",IF(LEN(B170)=2,VLOOKUP(A161,MSB,VLOOKUP(LEFT(B170,1),Teams,6,FALSE),FALSE),VLOOKUP(A161,MSA,VLOOKUP(B170,Teams,6,FALSE),FALSE)))</f>
        <v>John Andrews</v>
      </c>
      <c r="D170" s="52" t="str">
        <f t="shared" si="5"/>
        <v>Epsom &amp; Ewell</v>
      </c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53"/>
      <c r="T170" s="54"/>
      <c r="U170" s="55"/>
      <c r="V170" s="56"/>
    </row>
    <row r="171" spans="1:22" ht="18.75" customHeight="1">
      <c r="A171" s="49">
        <v>6</v>
      </c>
      <c r="B171" s="50" t="str">
        <f>IF(VALUE(MID(Dec!$B$1,2,1))="","",VLOOKUP(VALUE(MID(Dec!$B$1,2,1)),MLong_Jump,7))</f>
        <v>YY</v>
      </c>
      <c r="C171" s="51" t="str">
        <f>IF(B171="","",IF(LEN(B171)=2,VLOOKUP(A161,MSB,VLOOKUP(LEFT(B171,1),Teams,6,FALSE),FALSE),VLOOKUP(A161,MSA,VLOOKUP(B171,Teams,6,FALSE),FALSE)))</f>
        <v>Sam Cunningham</v>
      </c>
      <c r="D171" s="52" t="str">
        <f t="shared" si="5"/>
        <v>Crawley</v>
      </c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53"/>
      <c r="T171" s="54"/>
      <c r="U171" s="55"/>
      <c r="V171" s="56"/>
    </row>
    <row r="172" spans="1:22" ht="18.75" customHeight="1">
      <c r="A172" s="49">
        <v>7</v>
      </c>
      <c r="B172" s="50" t="str">
        <f>IF(VALUE(MID(Dec!$B$1,2,1))="","",VLOOKUP(VALUE(MID(Dec!$B$1,2,1)),MLong_Jump,8))</f>
        <v>RR</v>
      </c>
      <c r="C172" s="51" t="str">
        <f>IF(B172="","",IF(LEN(B172)=2,VLOOKUP(A161,MSB,VLOOKUP(LEFT(B172,1),Teams,6,FALSE),FALSE),VLOOKUP(A161,MSA,VLOOKUP(B172,Teams,6,FALSE),FALSE)))</f>
        <v>Liam Winton</v>
      </c>
      <c r="D172" s="52" t="str">
        <f t="shared" si="5"/>
        <v>Team Dorset</v>
      </c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53"/>
      <c r="T172" s="54"/>
      <c r="U172" s="55"/>
      <c r="V172" s="56"/>
    </row>
    <row r="173" spans="1:22" ht="18.75" customHeight="1">
      <c r="A173" s="49">
        <v>8</v>
      </c>
      <c r="B173" s="50" t="str">
        <f>IF(VALUE(MID(Dec!$B$1,2,1))="","",VLOOKUP(VALUE(MID(Dec!$B$1,2,1)),MLong_Jump,9))</f>
        <v>TT</v>
      </c>
      <c r="C173" s="51" t="str">
        <f>IF(B173="","",IF(LEN(B173)=2,VLOOKUP(A161,MSB,VLOOKUP(LEFT(B173,1),Teams,6,FALSE),FALSE),VLOOKUP(A161,MSA,VLOOKUP(B173,Teams,6,FALSE),FALSE)))</f>
        <v>Harry Kendal</v>
      </c>
      <c r="D173" s="52" t="str">
        <f t="shared" si="5"/>
        <v>Tonbridge</v>
      </c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53"/>
      <c r="T173" s="54"/>
      <c r="U173" s="55"/>
      <c r="V173" s="56"/>
    </row>
    <row r="174" spans="1:22" ht="18.75" customHeight="1">
      <c r="A174" s="49">
        <v>9</v>
      </c>
      <c r="B174" s="50"/>
      <c r="C174" s="51"/>
      <c r="D174" s="52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53"/>
      <c r="T174" s="54"/>
      <c r="U174" s="55"/>
      <c r="V174" s="56"/>
    </row>
    <row r="175" spans="1:22" ht="18.75" customHeight="1">
      <c r="A175" s="49">
        <v>10</v>
      </c>
      <c r="B175" s="50"/>
      <c r="C175" s="51"/>
      <c r="D175" s="52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53"/>
      <c r="T175" s="54"/>
      <c r="U175" s="55"/>
      <c r="V175" s="56"/>
    </row>
    <row r="176" spans="1:22" ht="18.75" customHeight="1">
      <c r="A176" s="49">
        <v>11</v>
      </c>
      <c r="B176" s="50"/>
      <c r="C176" s="51"/>
      <c r="D176" s="52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53"/>
      <c r="T176" s="54"/>
      <c r="U176" s="55"/>
      <c r="V176" s="56"/>
    </row>
    <row r="177" spans="1:22" ht="18.75" customHeight="1">
      <c r="A177" s="49">
        <v>12</v>
      </c>
      <c r="B177" s="50"/>
      <c r="C177" s="51"/>
      <c r="D177" s="52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53"/>
      <c r="T177" s="54"/>
      <c r="U177" s="55"/>
      <c r="V177" s="56"/>
    </row>
    <row r="178" spans="1:22" ht="18.75" customHeight="1">
      <c r="A178" s="49">
        <v>13</v>
      </c>
      <c r="B178" s="50"/>
      <c r="C178" s="51"/>
      <c r="D178" s="52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53"/>
      <c r="T178" s="54"/>
      <c r="U178" s="55"/>
      <c r="V178" s="56"/>
    </row>
    <row r="179" spans="1:22" ht="18.75" customHeight="1">
      <c r="A179" s="49">
        <v>14</v>
      </c>
      <c r="B179" s="50"/>
      <c r="C179" s="51"/>
      <c r="D179" s="52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53"/>
      <c r="T179" s="54"/>
      <c r="U179" s="55"/>
      <c r="V179" s="56"/>
    </row>
    <row r="180" spans="1:22" ht="18.75" customHeight="1">
      <c r="A180" s="49">
        <v>15</v>
      </c>
      <c r="B180" s="50"/>
      <c r="C180" s="51"/>
      <c r="D180" s="52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53"/>
      <c r="T180" s="54"/>
      <c r="U180" s="55"/>
      <c r="V180" s="56"/>
    </row>
    <row r="181" spans="1:22" ht="18.75" customHeight="1" thickBot="1">
      <c r="A181" s="57">
        <v>16</v>
      </c>
      <c r="B181" s="58"/>
      <c r="C181" s="51"/>
      <c r="D181" s="52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/>
      <c r="U181" s="62"/>
      <c r="V181" s="63"/>
    </row>
    <row r="182" ht="4.5" customHeight="1" thickBot="1"/>
    <row r="183" spans="1:22" ht="12">
      <c r="A183" s="192" t="s">
        <v>829</v>
      </c>
      <c r="B183" s="193"/>
      <c r="C183" s="193"/>
      <c r="D183" s="193"/>
      <c r="E183" s="193"/>
      <c r="F183" s="193"/>
      <c r="G183" s="194"/>
      <c r="H183" s="64" t="s">
        <v>830</v>
      </c>
      <c r="I183" s="195" t="s">
        <v>829</v>
      </c>
      <c r="J183" s="193"/>
      <c r="K183" s="193"/>
      <c r="L183" s="193"/>
      <c r="M183" s="193"/>
      <c r="N183" s="193"/>
      <c r="O183" s="193"/>
      <c r="P183" s="193"/>
      <c r="Q183" s="193"/>
      <c r="R183" s="193"/>
      <c r="S183" s="196"/>
      <c r="T183" s="197" t="s">
        <v>831</v>
      </c>
      <c r="U183" s="198"/>
      <c r="V183" s="199"/>
    </row>
    <row r="184" spans="1:22" ht="12">
      <c r="A184" s="54" t="s">
        <v>832</v>
      </c>
      <c r="B184" s="65" t="s">
        <v>833</v>
      </c>
      <c r="C184" s="48" t="s">
        <v>970</v>
      </c>
      <c r="D184" s="48" t="s">
        <v>971</v>
      </c>
      <c r="E184" s="200" t="s">
        <v>828</v>
      </c>
      <c r="F184" s="200"/>
      <c r="G184" s="65" t="s">
        <v>834</v>
      </c>
      <c r="H184" s="200" t="s">
        <v>832</v>
      </c>
      <c r="I184" s="200"/>
      <c r="J184" s="65" t="s">
        <v>833</v>
      </c>
      <c r="K184" s="183" t="s">
        <v>970</v>
      </c>
      <c r="L184" s="183"/>
      <c r="M184" s="183"/>
      <c r="N184" s="183" t="s">
        <v>971</v>
      </c>
      <c r="O184" s="183"/>
      <c r="P184" s="183"/>
      <c r="Q184" s="201" t="s">
        <v>828</v>
      </c>
      <c r="R184" s="202"/>
      <c r="S184" s="66" t="s">
        <v>834</v>
      </c>
      <c r="T184" s="177"/>
      <c r="U184" s="178"/>
      <c r="V184" s="179"/>
    </row>
    <row r="185" spans="1:22" ht="18.75" customHeight="1">
      <c r="A185" s="67" t="s">
        <v>835</v>
      </c>
      <c r="B185" s="46"/>
      <c r="C185" s="46"/>
      <c r="D185" s="46"/>
      <c r="E185" s="46"/>
      <c r="F185" s="46"/>
      <c r="G185" s="46"/>
      <c r="H185" s="183" t="s">
        <v>836</v>
      </c>
      <c r="I185" s="183"/>
      <c r="J185" s="46"/>
      <c r="K185" s="184"/>
      <c r="L185" s="185"/>
      <c r="M185" s="186"/>
      <c r="N185" s="184"/>
      <c r="O185" s="185"/>
      <c r="P185" s="186"/>
      <c r="Q185" s="46"/>
      <c r="R185" s="46"/>
      <c r="S185" s="53"/>
      <c r="T185" s="177"/>
      <c r="U185" s="178"/>
      <c r="V185" s="179"/>
    </row>
    <row r="186" spans="1:22" ht="18.75" customHeight="1">
      <c r="A186" s="67" t="s">
        <v>837</v>
      </c>
      <c r="B186" s="46"/>
      <c r="C186" s="46"/>
      <c r="D186" s="46"/>
      <c r="E186" s="46"/>
      <c r="F186" s="46"/>
      <c r="G186" s="46"/>
      <c r="H186" s="183" t="s">
        <v>838</v>
      </c>
      <c r="I186" s="183"/>
      <c r="J186" s="46"/>
      <c r="K186" s="184"/>
      <c r="L186" s="185"/>
      <c r="M186" s="186"/>
      <c r="N186" s="184"/>
      <c r="O186" s="185"/>
      <c r="P186" s="186"/>
      <c r="Q186" s="46"/>
      <c r="R186" s="46"/>
      <c r="S186" s="53"/>
      <c r="T186" s="177"/>
      <c r="U186" s="178"/>
      <c r="V186" s="179"/>
    </row>
    <row r="187" spans="1:22" ht="18.75" customHeight="1">
      <c r="A187" s="67" t="s">
        <v>839</v>
      </c>
      <c r="B187" s="46"/>
      <c r="C187" s="46"/>
      <c r="D187" s="46"/>
      <c r="E187" s="46"/>
      <c r="F187" s="46"/>
      <c r="G187" s="46"/>
      <c r="H187" s="183" t="s">
        <v>840</v>
      </c>
      <c r="I187" s="183"/>
      <c r="J187" s="46"/>
      <c r="K187" s="184"/>
      <c r="L187" s="185"/>
      <c r="M187" s="186"/>
      <c r="N187" s="184"/>
      <c r="O187" s="185"/>
      <c r="P187" s="186"/>
      <c r="Q187" s="46"/>
      <c r="R187" s="46"/>
      <c r="S187" s="53"/>
      <c r="T187" s="177"/>
      <c r="U187" s="178"/>
      <c r="V187" s="179"/>
    </row>
    <row r="188" spans="1:22" ht="18.75" customHeight="1">
      <c r="A188" s="67" t="s">
        <v>841</v>
      </c>
      <c r="B188" s="46"/>
      <c r="C188" s="46"/>
      <c r="D188" s="46"/>
      <c r="E188" s="46"/>
      <c r="F188" s="46"/>
      <c r="G188" s="46"/>
      <c r="H188" s="183" t="s">
        <v>842</v>
      </c>
      <c r="I188" s="183"/>
      <c r="J188" s="46"/>
      <c r="K188" s="184"/>
      <c r="L188" s="185"/>
      <c r="M188" s="186"/>
      <c r="N188" s="184"/>
      <c r="O188" s="185"/>
      <c r="P188" s="186"/>
      <c r="Q188" s="46"/>
      <c r="R188" s="46"/>
      <c r="S188" s="53"/>
      <c r="T188" s="177"/>
      <c r="U188" s="178"/>
      <c r="V188" s="179"/>
    </row>
    <row r="189" spans="1:22" ht="18.75" customHeight="1">
      <c r="A189" s="67" t="s">
        <v>843</v>
      </c>
      <c r="B189" s="46"/>
      <c r="C189" s="46"/>
      <c r="D189" s="46"/>
      <c r="E189" s="46"/>
      <c r="F189" s="46"/>
      <c r="G189" s="46"/>
      <c r="H189" s="183" t="s">
        <v>844</v>
      </c>
      <c r="I189" s="183"/>
      <c r="J189" s="46"/>
      <c r="K189" s="184"/>
      <c r="L189" s="185"/>
      <c r="M189" s="186"/>
      <c r="N189" s="184"/>
      <c r="O189" s="185"/>
      <c r="P189" s="186"/>
      <c r="Q189" s="46"/>
      <c r="R189" s="46"/>
      <c r="S189" s="53"/>
      <c r="T189" s="177"/>
      <c r="U189" s="178"/>
      <c r="V189" s="179"/>
    </row>
    <row r="190" spans="1:22" ht="18.75" customHeight="1">
      <c r="A190" s="67" t="s">
        <v>845</v>
      </c>
      <c r="B190" s="46"/>
      <c r="C190" s="46"/>
      <c r="D190" s="46"/>
      <c r="E190" s="46"/>
      <c r="F190" s="46"/>
      <c r="G190" s="46"/>
      <c r="H190" s="183" t="s">
        <v>846</v>
      </c>
      <c r="I190" s="183"/>
      <c r="J190" s="46"/>
      <c r="K190" s="184"/>
      <c r="L190" s="185"/>
      <c r="M190" s="186"/>
      <c r="N190" s="184"/>
      <c r="O190" s="185"/>
      <c r="P190" s="186"/>
      <c r="Q190" s="46"/>
      <c r="R190" s="46"/>
      <c r="S190" s="53"/>
      <c r="T190" s="177" t="s">
        <v>847</v>
      </c>
      <c r="U190" s="178"/>
      <c r="V190" s="179"/>
    </row>
    <row r="191" spans="1:22" ht="18.75" customHeight="1">
      <c r="A191" s="67" t="s">
        <v>848</v>
      </c>
      <c r="B191" s="46"/>
      <c r="C191" s="46"/>
      <c r="D191" s="46"/>
      <c r="E191" s="46"/>
      <c r="F191" s="46"/>
      <c r="G191" s="46"/>
      <c r="H191" s="183" t="s">
        <v>849</v>
      </c>
      <c r="I191" s="183"/>
      <c r="J191" s="46"/>
      <c r="K191" s="184"/>
      <c r="L191" s="185"/>
      <c r="M191" s="186"/>
      <c r="N191" s="184"/>
      <c r="O191" s="185"/>
      <c r="P191" s="186"/>
      <c r="Q191" s="46"/>
      <c r="R191" s="46"/>
      <c r="S191" s="53"/>
      <c r="T191" s="177"/>
      <c r="U191" s="178"/>
      <c r="V191" s="179"/>
    </row>
    <row r="192" spans="1:22" ht="18.75" customHeight="1" thickBot="1">
      <c r="A192" s="68" t="s">
        <v>850</v>
      </c>
      <c r="B192" s="59"/>
      <c r="C192" s="59"/>
      <c r="D192" s="59"/>
      <c r="E192" s="59"/>
      <c r="F192" s="59"/>
      <c r="G192" s="59"/>
      <c r="H192" s="187" t="s">
        <v>851</v>
      </c>
      <c r="I192" s="187"/>
      <c r="J192" s="59"/>
      <c r="K192" s="188"/>
      <c r="L192" s="189"/>
      <c r="M192" s="190"/>
      <c r="N192" s="188"/>
      <c r="O192" s="189"/>
      <c r="P192" s="190"/>
      <c r="Q192" s="59"/>
      <c r="R192" s="59"/>
      <c r="S192" s="60"/>
      <c r="T192" s="180"/>
      <c r="U192" s="181"/>
      <c r="V192" s="182"/>
    </row>
    <row r="193" ht="12">
      <c r="A193" t="s">
        <v>854</v>
      </c>
    </row>
    <row r="194" spans="1:22" ht="12">
      <c r="A194" s="176" t="s">
        <v>812</v>
      </c>
      <c r="B194" s="176"/>
      <c r="C194" s="176"/>
      <c r="D194" s="223" t="str">
        <f>"Date: "&amp;TEXT(Dec!D$3,"dd mmmm yyyy")</f>
        <v>Date: 21 June 2014</v>
      </c>
      <c r="E194" s="223"/>
      <c r="F194" s="223" t="s">
        <v>813</v>
      </c>
      <c r="G194" s="223"/>
      <c r="H194" s="223"/>
      <c r="I194" s="223"/>
      <c r="J194" s="223" t="str">
        <f>"Venue: "&amp;Dec!$B$3</f>
        <v>Venue: Kingston</v>
      </c>
      <c r="K194" s="223"/>
      <c r="L194" s="223"/>
      <c r="M194" s="223"/>
      <c r="N194" s="223"/>
      <c r="O194" s="223" t="s">
        <v>856</v>
      </c>
      <c r="P194" s="223"/>
      <c r="Q194" s="223"/>
      <c r="R194" s="223"/>
      <c r="S194" s="223"/>
      <c r="T194" s="223"/>
      <c r="U194" s="223"/>
      <c r="V194" s="223"/>
    </row>
    <row r="195" spans="1:22" ht="12.75" thickBot="1">
      <c r="A195" s="223" t="str">
        <f>"Event: Women's Javelin - "&amp;Dec!B8</f>
        <v>Event: Women's Javelin - Tonbridge</v>
      </c>
      <c r="B195" s="223"/>
      <c r="C195" s="223"/>
      <c r="D195" s="223"/>
      <c r="E195" s="223"/>
      <c r="F195" s="223" t="s">
        <v>865</v>
      </c>
      <c r="G195" s="223"/>
      <c r="H195" s="223"/>
      <c r="I195" s="223"/>
      <c r="J195" s="223" t="s">
        <v>814</v>
      </c>
      <c r="K195" s="223"/>
      <c r="L195" s="223"/>
      <c r="M195" s="223"/>
      <c r="N195" s="223"/>
      <c r="O195" s="223" t="s">
        <v>815</v>
      </c>
      <c r="P195" s="223"/>
      <c r="Q195" s="223"/>
      <c r="R195" s="223"/>
      <c r="S195" s="223"/>
      <c r="T195" s="223"/>
      <c r="U195" s="223"/>
      <c r="V195" s="223"/>
    </row>
    <row r="196" spans="1:22" ht="33.75" customHeight="1">
      <c r="A196" s="215" t="s">
        <v>816</v>
      </c>
      <c r="B196" s="217" t="s">
        <v>817</v>
      </c>
      <c r="C196" s="219" t="s">
        <v>862</v>
      </c>
      <c r="D196" s="220"/>
      <c r="E196" s="191" t="s">
        <v>818</v>
      </c>
      <c r="F196" s="191"/>
      <c r="G196" s="191" t="s">
        <v>819</v>
      </c>
      <c r="H196" s="191"/>
      <c r="I196" s="191" t="s">
        <v>820</v>
      </c>
      <c r="J196" s="191"/>
      <c r="K196" s="208" t="s">
        <v>821</v>
      </c>
      <c r="L196" s="208"/>
      <c r="M196" s="203" t="s">
        <v>822</v>
      </c>
      <c r="N196" s="208" t="s">
        <v>823</v>
      </c>
      <c r="O196" s="208"/>
      <c r="P196" s="208" t="s">
        <v>824</v>
      </c>
      <c r="Q196" s="208"/>
      <c r="R196" s="208" t="s">
        <v>825</v>
      </c>
      <c r="S196" s="211"/>
      <c r="T196" s="213" t="s">
        <v>826</v>
      </c>
      <c r="U196" s="214"/>
      <c r="V196" s="205" t="s">
        <v>827</v>
      </c>
    </row>
    <row r="197" spans="1:22" ht="24" customHeight="1">
      <c r="A197" s="216"/>
      <c r="B197" s="218"/>
      <c r="C197" s="221"/>
      <c r="D197" s="222"/>
      <c r="E197" s="207" t="s">
        <v>828</v>
      </c>
      <c r="F197" s="207"/>
      <c r="G197" s="207" t="s">
        <v>828</v>
      </c>
      <c r="H197" s="207"/>
      <c r="I197" s="207" t="s">
        <v>828</v>
      </c>
      <c r="J197" s="207"/>
      <c r="K197" s="207" t="s">
        <v>828</v>
      </c>
      <c r="L197" s="207"/>
      <c r="M197" s="204"/>
      <c r="N197" s="207" t="s">
        <v>828</v>
      </c>
      <c r="O197" s="207"/>
      <c r="P197" s="207" t="s">
        <v>828</v>
      </c>
      <c r="Q197" s="207"/>
      <c r="R197" s="207" t="s">
        <v>828</v>
      </c>
      <c r="S197" s="212"/>
      <c r="T197" s="209" t="s">
        <v>828</v>
      </c>
      <c r="U197" s="210"/>
      <c r="V197" s="206"/>
    </row>
    <row r="198" spans="1:22" ht="18.75" customHeight="1">
      <c r="A198" s="49">
        <v>1</v>
      </c>
      <c r="B198" s="50" t="str">
        <f>IF(VALUE(MID(Dec!$B$1,2,1))="","",VLOOKUP(VALUE(MID(Dec!$B$1,2,1)),WJavelin,2))</f>
        <v>R</v>
      </c>
      <c r="C198" s="51" t="str">
        <f>IF(B198="","",IF(LEN(B198)=2,VLOOKUP(A193,WSB,VLOOKUP(LEFT(B198,1),Teams,6,FALSE),FALSE),VLOOKUP(A193,WSA,VLOOKUP(B198,Teams,6,FALSE),FALSE)))</f>
        <v>Trudi Carter</v>
      </c>
      <c r="D198" s="52" t="str">
        <f aca="true" t="shared" si="6" ref="D198:D205">IF(B198="","",VLOOKUP(LEFT(B198,1),Teams,2,FALSE))</f>
        <v>Team Dorset</v>
      </c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53"/>
      <c r="T198" s="54"/>
      <c r="U198" s="55"/>
      <c r="V198" s="56"/>
    </row>
    <row r="199" spans="1:22" ht="18.75" customHeight="1">
      <c r="A199" s="49">
        <v>2</v>
      </c>
      <c r="B199" s="50" t="str">
        <f>IF(VALUE(MID(Dec!$B$1,2,1))="","",VLOOKUP(VALUE(MID(Dec!$B$1,2,1)),WJavelin,3))</f>
        <v>Y</v>
      </c>
      <c r="C199" s="51" t="str">
        <f>IF(B199="","",IF(LEN(B199)=2,VLOOKUP(A193,WSB,VLOOKUP(LEFT(B199,1),Teams,6,FALSE),FALSE),VLOOKUP(A193,WSA,VLOOKUP(B199,Teams,6,FALSE),FALSE)))</f>
        <v>Jo Rowland</v>
      </c>
      <c r="D199" s="52" t="str">
        <f t="shared" si="6"/>
        <v>Crawley</v>
      </c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53"/>
      <c r="T199" s="54"/>
      <c r="U199" s="55"/>
      <c r="V199" s="56"/>
    </row>
    <row r="200" spans="1:22" ht="18.75" customHeight="1">
      <c r="A200" s="49">
        <v>3</v>
      </c>
      <c r="B200" s="50" t="str">
        <f>IF(VALUE(MID(Dec!$B$1,2,1))="","",VLOOKUP(VALUE(MID(Dec!$B$1,2,1)),WJavelin,4))</f>
        <v>T</v>
      </c>
      <c r="C200" s="51" t="str">
        <f>IF(B200="","",IF(LEN(B200)=2,VLOOKUP(A193,WSB,VLOOKUP(LEFT(B200,1),Teams,6,FALSE),FALSE),VLOOKUP(A193,WSA,VLOOKUP(B200,Teams,6,FALSE),FALSE)))</f>
        <v>Jessica Murphy</v>
      </c>
      <c r="D200" s="52" t="str">
        <f t="shared" si="6"/>
        <v>Tonbridge</v>
      </c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53"/>
      <c r="T200" s="54"/>
      <c r="U200" s="55"/>
      <c r="V200" s="56"/>
    </row>
    <row r="201" spans="1:22" ht="18.75" customHeight="1">
      <c r="A201" s="49">
        <v>4</v>
      </c>
      <c r="B201" s="50" t="str">
        <f>IF(VALUE(MID(Dec!$B$1,2,1))="","",VLOOKUP(VALUE(MID(Dec!$B$1,2,1)),WJavelin,5))</f>
        <v>E</v>
      </c>
      <c r="C201" s="51" t="str">
        <f>IF(B201="","",IF(LEN(B201)=2,VLOOKUP(A193,WSB,VLOOKUP(LEFT(B201,1),Teams,6,FALSE),FALSE),VLOOKUP(A193,WSA,VLOOKUP(B201,Teams,6,FALSE),FALSE)))</f>
        <v>Diana Norman</v>
      </c>
      <c r="D201" s="52" t="str">
        <f t="shared" si="6"/>
        <v>Epsom &amp; Ewell</v>
      </c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53"/>
      <c r="T201" s="54"/>
      <c r="U201" s="55"/>
      <c r="V201" s="56"/>
    </row>
    <row r="202" spans="1:22" ht="18.75" customHeight="1">
      <c r="A202" s="49">
        <v>5</v>
      </c>
      <c r="B202" s="50" t="str">
        <f>IF(VALUE(MID(Dec!$B$1,2,1))="","",VLOOKUP(VALUE(MID(Dec!$B$1,2,1)),WJavelin,6))</f>
        <v>RR</v>
      </c>
      <c r="C202" s="51" t="str">
        <f>IF(B202="","",IF(LEN(B202)=2,VLOOKUP(A193,WSB,VLOOKUP(LEFT(B202,1),Teams,6,FALSE),FALSE),VLOOKUP(A193,WSA,VLOOKUP(B202,Teams,6,FALSE),FALSE)))</f>
        <v>Jess May</v>
      </c>
      <c r="D202" s="52" t="str">
        <f t="shared" si="6"/>
        <v>Team Dorset</v>
      </c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53"/>
      <c r="T202" s="54"/>
      <c r="U202" s="55"/>
      <c r="V202" s="56"/>
    </row>
    <row r="203" spans="1:22" ht="18.75" customHeight="1">
      <c r="A203" s="49">
        <v>6</v>
      </c>
      <c r="B203" s="50" t="str">
        <f>IF(VALUE(MID(Dec!$B$1,2,1))="","",VLOOKUP(VALUE(MID(Dec!$B$1,2,1)),WJavelin,7))</f>
        <v>YY</v>
      </c>
      <c r="C203" s="51" t="str">
        <f>IF(B203="","",IF(LEN(B203)=2,VLOOKUP(A193,WSB,VLOOKUP(LEFT(B203,1),Teams,6,FALSE),FALSE),VLOOKUP(A193,WSA,VLOOKUP(B203,Teams,6,FALSE),FALSE)))</f>
        <v>Karen Shackel </v>
      </c>
      <c r="D203" s="52" t="str">
        <f t="shared" si="6"/>
        <v>Crawley</v>
      </c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53"/>
      <c r="T203" s="54"/>
      <c r="U203" s="55"/>
      <c r="V203" s="56"/>
    </row>
    <row r="204" spans="1:22" ht="18.75" customHeight="1">
      <c r="A204" s="49">
        <v>7</v>
      </c>
      <c r="B204" s="50" t="str">
        <f>IF(VALUE(MID(Dec!$B$1,2,1))="","",VLOOKUP(VALUE(MID(Dec!$B$1,2,1)),WJavelin,8))</f>
        <v>TT</v>
      </c>
      <c r="C204" s="51" t="str">
        <f>IF(B204="","",IF(LEN(B204)=2,VLOOKUP(A193,WSB,VLOOKUP(LEFT(B204,1),Teams,6,FALSE),FALSE),VLOOKUP(A193,WSA,VLOOKUP(B204,Teams,6,FALSE),FALSE)))</f>
        <v>Eleanor Ribbits</v>
      </c>
      <c r="D204" s="52" t="str">
        <f t="shared" si="6"/>
        <v>Tonbridge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53"/>
      <c r="T204" s="54"/>
      <c r="U204" s="55"/>
      <c r="V204" s="56"/>
    </row>
    <row r="205" spans="1:22" ht="18.75" customHeight="1">
      <c r="A205" s="49">
        <v>8</v>
      </c>
      <c r="B205" s="50" t="str">
        <f>IF(VALUE(MID(Dec!$B$1,2,1))="","",VLOOKUP(VALUE(MID(Dec!$B$1,2,1)),WJavelin,9))</f>
        <v>EE</v>
      </c>
      <c r="C205" s="51" t="str">
        <f>IF(B205="","",IF(LEN(B205)=2,VLOOKUP(A193,WSB,VLOOKUP(LEFT(B205,1),Teams,6,FALSE),FALSE),VLOOKUP(A193,WSA,VLOOKUP(B205,Teams,6,FALSE),FALSE)))</f>
        <v>Julia Machin</v>
      </c>
      <c r="D205" s="52" t="str">
        <f t="shared" si="6"/>
        <v>Epsom &amp; Ewell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53"/>
      <c r="T205" s="54"/>
      <c r="U205" s="55"/>
      <c r="V205" s="56"/>
    </row>
    <row r="206" spans="1:22" ht="18.75" customHeight="1">
      <c r="A206" s="49">
        <v>9</v>
      </c>
      <c r="B206" s="50"/>
      <c r="C206" s="51"/>
      <c r="D206" s="52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53"/>
      <c r="T206" s="54"/>
      <c r="U206" s="55"/>
      <c r="V206" s="56"/>
    </row>
    <row r="207" spans="1:22" ht="18.75" customHeight="1">
      <c r="A207" s="49">
        <v>10</v>
      </c>
      <c r="B207" s="50"/>
      <c r="C207" s="51"/>
      <c r="D207" s="52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53"/>
      <c r="T207" s="54"/>
      <c r="U207" s="55"/>
      <c r="V207" s="56"/>
    </row>
    <row r="208" spans="1:22" ht="18.75" customHeight="1">
      <c r="A208" s="49">
        <v>11</v>
      </c>
      <c r="B208" s="50"/>
      <c r="C208" s="51"/>
      <c r="D208" s="52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53"/>
      <c r="T208" s="54"/>
      <c r="U208" s="55"/>
      <c r="V208" s="56"/>
    </row>
    <row r="209" spans="1:22" ht="18.75" customHeight="1">
      <c r="A209" s="49">
        <v>12</v>
      </c>
      <c r="B209" s="50"/>
      <c r="C209" s="51"/>
      <c r="D209" s="52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53"/>
      <c r="T209" s="54"/>
      <c r="U209" s="55"/>
      <c r="V209" s="56"/>
    </row>
    <row r="210" spans="1:22" ht="18.75" customHeight="1">
      <c r="A210" s="49">
        <v>13</v>
      </c>
      <c r="B210" s="50"/>
      <c r="C210" s="51"/>
      <c r="D210" s="52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53"/>
      <c r="T210" s="54"/>
      <c r="U210" s="55"/>
      <c r="V210" s="56"/>
    </row>
    <row r="211" spans="1:22" ht="18.75" customHeight="1">
      <c r="A211" s="49">
        <v>14</v>
      </c>
      <c r="B211" s="50"/>
      <c r="C211" s="51"/>
      <c r="D211" s="52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53"/>
      <c r="T211" s="54"/>
      <c r="U211" s="55"/>
      <c r="V211" s="56"/>
    </row>
    <row r="212" spans="1:22" ht="18.75" customHeight="1">
      <c r="A212" s="49">
        <v>15</v>
      </c>
      <c r="B212" s="50"/>
      <c r="C212" s="51"/>
      <c r="D212" s="52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53"/>
      <c r="T212" s="54"/>
      <c r="U212" s="55"/>
      <c r="V212" s="56"/>
    </row>
    <row r="213" spans="1:22" ht="18.75" customHeight="1" thickBot="1">
      <c r="A213" s="57">
        <v>16</v>
      </c>
      <c r="B213" s="58"/>
      <c r="C213" s="51"/>
      <c r="D213" s="52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/>
      <c r="U213" s="62"/>
      <c r="V213" s="63"/>
    </row>
    <row r="214" ht="4.5" customHeight="1" thickBot="1"/>
    <row r="215" spans="1:22" ht="12">
      <c r="A215" s="192" t="s">
        <v>829</v>
      </c>
      <c r="B215" s="193"/>
      <c r="C215" s="193"/>
      <c r="D215" s="193"/>
      <c r="E215" s="193"/>
      <c r="F215" s="193"/>
      <c r="G215" s="194"/>
      <c r="H215" s="64" t="s">
        <v>830</v>
      </c>
      <c r="I215" s="195" t="s">
        <v>829</v>
      </c>
      <c r="J215" s="193"/>
      <c r="K215" s="193"/>
      <c r="L215" s="193"/>
      <c r="M215" s="193"/>
      <c r="N215" s="193"/>
      <c r="O215" s="193"/>
      <c r="P215" s="193"/>
      <c r="Q215" s="193"/>
      <c r="R215" s="193"/>
      <c r="S215" s="196"/>
      <c r="T215" s="197" t="s">
        <v>831</v>
      </c>
      <c r="U215" s="198"/>
      <c r="V215" s="199"/>
    </row>
    <row r="216" spans="1:22" ht="12">
      <c r="A216" s="54" t="s">
        <v>832</v>
      </c>
      <c r="B216" s="65" t="s">
        <v>833</v>
      </c>
      <c r="C216" s="48" t="s">
        <v>970</v>
      </c>
      <c r="D216" s="48" t="s">
        <v>971</v>
      </c>
      <c r="E216" s="200" t="s">
        <v>828</v>
      </c>
      <c r="F216" s="200"/>
      <c r="G216" s="65" t="s">
        <v>834</v>
      </c>
      <c r="H216" s="200" t="s">
        <v>832</v>
      </c>
      <c r="I216" s="200"/>
      <c r="J216" s="65" t="s">
        <v>833</v>
      </c>
      <c r="K216" s="183" t="s">
        <v>970</v>
      </c>
      <c r="L216" s="183"/>
      <c r="M216" s="183"/>
      <c r="N216" s="183" t="s">
        <v>971</v>
      </c>
      <c r="O216" s="183"/>
      <c r="P216" s="183"/>
      <c r="Q216" s="201" t="s">
        <v>828</v>
      </c>
      <c r="R216" s="202"/>
      <c r="S216" s="66" t="s">
        <v>834</v>
      </c>
      <c r="T216" s="177"/>
      <c r="U216" s="178"/>
      <c r="V216" s="179"/>
    </row>
    <row r="217" spans="1:22" ht="18.75" customHeight="1">
      <c r="A217" s="67" t="s">
        <v>835</v>
      </c>
      <c r="B217" s="46"/>
      <c r="C217" s="46"/>
      <c r="D217" s="46"/>
      <c r="E217" s="46"/>
      <c r="F217" s="46"/>
      <c r="G217" s="46"/>
      <c r="H217" s="183" t="s">
        <v>836</v>
      </c>
      <c r="I217" s="183"/>
      <c r="J217" s="46"/>
      <c r="K217" s="184"/>
      <c r="L217" s="185"/>
      <c r="M217" s="186"/>
      <c r="N217" s="184"/>
      <c r="O217" s="185"/>
      <c r="P217" s="186"/>
      <c r="Q217" s="46"/>
      <c r="R217" s="46"/>
      <c r="S217" s="53"/>
      <c r="T217" s="177"/>
      <c r="U217" s="178"/>
      <c r="V217" s="179"/>
    </row>
    <row r="218" spans="1:22" ht="18.75" customHeight="1">
      <c r="A218" s="67" t="s">
        <v>837</v>
      </c>
      <c r="B218" s="46"/>
      <c r="C218" s="46"/>
      <c r="D218" s="46"/>
      <c r="E218" s="46"/>
      <c r="F218" s="46"/>
      <c r="G218" s="46"/>
      <c r="H218" s="183" t="s">
        <v>838</v>
      </c>
      <c r="I218" s="183"/>
      <c r="J218" s="46"/>
      <c r="K218" s="184"/>
      <c r="L218" s="185"/>
      <c r="M218" s="186"/>
      <c r="N218" s="184"/>
      <c r="O218" s="185"/>
      <c r="P218" s="186"/>
      <c r="Q218" s="46"/>
      <c r="R218" s="46"/>
      <c r="S218" s="53"/>
      <c r="T218" s="177"/>
      <c r="U218" s="178"/>
      <c r="V218" s="179"/>
    </row>
    <row r="219" spans="1:22" ht="18.75" customHeight="1">
      <c r="A219" s="67" t="s">
        <v>839</v>
      </c>
      <c r="B219" s="46"/>
      <c r="C219" s="46"/>
      <c r="D219" s="46"/>
      <c r="E219" s="46"/>
      <c r="F219" s="46"/>
      <c r="G219" s="46"/>
      <c r="H219" s="183" t="s">
        <v>840</v>
      </c>
      <c r="I219" s="183"/>
      <c r="J219" s="46"/>
      <c r="K219" s="184"/>
      <c r="L219" s="185"/>
      <c r="M219" s="186"/>
      <c r="N219" s="184"/>
      <c r="O219" s="185"/>
      <c r="P219" s="186"/>
      <c r="Q219" s="46"/>
      <c r="R219" s="46"/>
      <c r="S219" s="53"/>
      <c r="T219" s="177"/>
      <c r="U219" s="178"/>
      <c r="V219" s="179"/>
    </row>
    <row r="220" spans="1:22" ht="18.75" customHeight="1">
      <c r="A220" s="67" t="s">
        <v>841</v>
      </c>
      <c r="B220" s="46"/>
      <c r="C220" s="46"/>
      <c r="D220" s="46"/>
      <c r="E220" s="46"/>
      <c r="F220" s="46"/>
      <c r="G220" s="46"/>
      <c r="H220" s="183" t="s">
        <v>842</v>
      </c>
      <c r="I220" s="183"/>
      <c r="J220" s="46"/>
      <c r="K220" s="184"/>
      <c r="L220" s="185"/>
      <c r="M220" s="186"/>
      <c r="N220" s="184"/>
      <c r="O220" s="185"/>
      <c r="P220" s="186"/>
      <c r="Q220" s="46"/>
      <c r="R220" s="46"/>
      <c r="S220" s="53"/>
      <c r="T220" s="177"/>
      <c r="U220" s="178"/>
      <c r="V220" s="179"/>
    </row>
    <row r="221" spans="1:22" ht="18.75" customHeight="1">
      <c r="A221" s="67" t="s">
        <v>843</v>
      </c>
      <c r="B221" s="46"/>
      <c r="C221" s="46"/>
      <c r="D221" s="46"/>
      <c r="E221" s="46"/>
      <c r="F221" s="46"/>
      <c r="G221" s="46"/>
      <c r="H221" s="183" t="s">
        <v>844</v>
      </c>
      <c r="I221" s="183"/>
      <c r="J221" s="46"/>
      <c r="K221" s="184"/>
      <c r="L221" s="185"/>
      <c r="M221" s="186"/>
      <c r="N221" s="184"/>
      <c r="O221" s="185"/>
      <c r="P221" s="186"/>
      <c r="Q221" s="46"/>
      <c r="R221" s="46"/>
      <c r="S221" s="53"/>
      <c r="T221" s="177"/>
      <c r="U221" s="178"/>
      <c r="V221" s="179"/>
    </row>
    <row r="222" spans="1:22" ht="18.75" customHeight="1">
      <c r="A222" s="67" t="s">
        <v>845</v>
      </c>
      <c r="B222" s="46"/>
      <c r="C222" s="46"/>
      <c r="D222" s="46"/>
      <c r="E222" s="46"/>
      <c r="F222" s="46"/>
      <c r="G222" s="46"/>
      <c r="H222" s="183" t="s">
        <v>846</v>
      </c>
      <c r="I222" s="183"/>
      <c r="J222" s="46"/>
      <c r="K222" s="184"/>
      <c r="L222" s="185"/>
      <c r="M222" s="186"/>
      <c r="N222" s="184"/>
      <c r="O222" s="185"/>
      <c r="P222" s="186"/>
      <c r="Q222" s="46"/>
      <c r="R222" s="46"/>
      <c r="S222" s="53"/>
      <c r="T222" s="177" t="s">
        <v>847</v>
      </c>
      <c r="U222" s="178"/>
      <c r="V222" s="179"/>
    </row>
    <row r="223" spans="1:22" ht="18.75" customHeight="1">
      <c r="A223" s="67" t="s">
        <v>848</v>
      </c>
      <c r="B223" s="46"/>
      <c r="C223" s="46"/>
      <c r="D223" s="46"/>
      <c r="E223" s="46"/>
      <c r="F223" s="46"/>
      <c r="G223" s="46"/>
      <c r="H223" s="183" t="s">
        <v>849</v>
      </c>
      <c r="I223" s="183"/>
      <c r="J223" s="46"/>
      <c r="K223" s="184"/>
      <c r="L223" s="185"/>
      <c r="M223" s="186"/>
      <c r="N223" s="184"/>
      <c r="O223" s="185"/>
      <c r="P223" s="186"/>
      <c r="Q223" s="46"/>
      <c r="R223" s="46"/>
      <c r="S223" s="53"/>
      <c r="T223" s="177"/>
      <c r="U223" s="178"/>
      <c r="V223" s="179"/>
    </row>
    <row r="224" spans="1:22" ht="18.75" customHeight="1" thickBot="1">
      <c r="A224" s="68" t="s">
        <v>850</v>
      </c>
      <c r="B224" s="59"/>
      <c r="C224" s="59"/>
      <c r="D224" s="59"/>
      <c r="E224" s="59"/>
      <c r="F224" s="59"/>
      <c r="G224" s="59"/>
      <c r="H224" s="187" t="s">
        <v>851</v>
      </c>
      <c r="I224" s="187"/>
      <c r="J224" s="59"/>
      <c r="K224" s="188"/>
      <c r="L224" s="189"/>
      <c r="M224" s="190"/>
      <c r="N224" s="188"/>
      <c r="O224" s="189"/>
      <c r="P224" s="190"/>
      <c r="Q224" s="59"/>
      <c r="R224" s="59"/>
      <c r="S224" s="60"/>
      <c r="T224" s="180"/>
      <c r="U224" s="181"/>
      <c r="V224" s="182"/>
    </row>
    <row r="225" ht="12">
      <c r="A225" t="s">
        <v>990</v>
      </c>
    </row>
    <row r="226" spans="1:22" ht="12">
      <c r="A226" s="176" t="s">
        <v>812</v>
      </c>
      <c r="B226" s="176"/>
      <c r="C226" s="176"/>
      <c r="D226" s="223" t="str">
        <f>"Date: "&amp;TEXT(Dec!D$3,"dd mmmm yyyy")</f>
        <v>Date: 21 June 2014</v>
      </c>
      <c r="E226" s="223"/>
      <c r="F226" s="223" t="s">
        <v>813</v>
      </c>
      <c r="G226" s="223"/>
      <c r="H226" s="223"/>
      <c r="I226" s="223"/>
      <c r="J226" s="223" t="str">
        <f>"Venue: "&amp;Dec!$B$3</f>
        <v>Venue: Kingston</v>
      </c>
      <c r="K226" s="223"/>
      <c r="L226" s="223"/>
      <c r="M226" s="223"/>
      <c r="N226" s="223"/>
      <c r="O226" s="223" t="s">
        <v>856</v>
      </c>
      <c r="P226" s="223"/>
      <c r="Q226" s="223"/>
      <c r="R226" s="223"/>
      <c r="S226" s="223"/>
      <c r="T226" s="223"/>
      <c r="U226" s="223"/>
      <c r="V226" s="223"/>
    </row>
    <row r="227" spans="1:22" ht="12.75" thickBot="1">
      <c r="A227" s="223" t="str">
        <f>"Event: Men's Javelin - "&amp;Dec!B8</f>
        <v>Event: Men's Javelin - Tonbridge</v>
      </c>
      <c r="B227" s="223"/>
      <c r="C227" s="223"/>
      <c r="D227" s="223"/>
      <c r="E227" s="223"/>
      <c r="F227" s="223" t="s">
        <v>866</v>
      </c>
      <c r="G227" s="223"/>
      <c r="H227" s="223"/>
      <c r="I227" s="223"/>
      <c r="J227" s="223" t="s">
        <v>814</v>
      </c>
      <c r="K227" s="223"/>
      <c r="L227" s="223"/>
      <c r="M227" s="223"/>
      <c r="N227" s="223"/>
      <c r="O227" s="223" t="s">
        <v>815</v>
      </c>
      <c r="P227" s="223"/>
      <c r="Q227" s="223"/>
      <c r="R227" s="223"/>
      <c r="S227" s="223"/>
      <c r="T227" s="223"/>
      <c r="U227" s="223"/>
      <c r="V227" s="223"/>
    </row>
    <row r="228" spans="1:22" ht="33.75" customHeight="1">
      <c r="A228" s="215" t="s">
        <v>816</v>
      </c>
      <c r="B228" s="217" t="s">
        <v>817</v>
      </c>
      <c r="C228" s="219" t="s">
        <v>862</v>
      </c>
      <c r="D228" s="220"/>
      <c r="E228" s="191" t="s">
        <v>818</v>
      </c>
      <c r="F228" s="191"/>
      <c r="G228" s="191" t="s">
        <v>819</v>
      </c>
      <c r="H228" s="191"/>
      <c r="I228" s="191" t="s">
        <v>820</v>
      </c>
      <c r="J228" s="191"/>
      <c r="K228" s="208" t="s">
        <v>821</v>
      </c>
      <c r="L228" s="208"/>
      <c r="M228" s="203" t="s">
        <v>822</v>
      </c>
      <c r="N228" s="208" t="s">
        <v>823</v>
      </c>
      <c r="O228" s="208"/>
      <c r="P228" s="208" t="s">
        <v>824</v>
      </c>
      <c r="Q228" s="208"/>
      <c r="R228" s="208" t="s">
        <v>825</v>
      </c>
      <c r="S228" s="211"/>
      <c r="T228" s="213" t="s">
        <v>826</v>
      </c>
      <c r="U228" s="214"/>
      <c r="V228" s="205" t="s">
        <v>827</v>
      </c>
    </row>
    <row r="229" spans="1:22" ht="24" customHeight="1">
      <c r="A229" s="216"/>
      <c r="B229" s="218"/>
      <c r="C229" s="221"/>
      <c r="D229" s="222"/>
      <c r="E229" s="207" t="s">
        <v>828</v>
      </c>
      <c r="F229" s="207"/>
      <c r="G229" s="207" t="s">
        <v>828</v>
      </c>
      <c r="H229" s="207"/>
      <c r="I229" s="207" t="s">
        <v>828</v>
      </c>
      <c r="J229" s="207"/>
      <c r="K229" s="207" t="s">
        <v>828</v>
      </c>
      <c r="L229" s="207"/>
      <c r="M229" s="204"/>
      <c r="N229" s="207" t="s">
        <v>828</v>
      </c>
      <c r="O229" s="207"/>
      <c r="P229" s="207" t="s">
        <v>828</v>
      </c>
      <c r="Q229" s="207"/>
      <c r="R229" s="207" t="s">
        <v>828</v>
      </c>
      <c r="S229" s="212"/>
      <c r="T229" s="209" t="s">
        <v>828</v>
      </c>
      <c r="U229" s="210"/>
      <c r="V229" s="206"/>
    </row>
    <row r="230" spans="1:22" ht="18.75" customHeight="1">
      <c r="A230" s="49">
        <v>1</v>
      </c>
      <c r="B230" s="50" t="str">
        <f>IF(VALUE(MID(Dec!$B$1,2,1))="","",VLOOKUP(VALUE(MID(Dec!$B$1,2,1)),MJavelin,2))</f>
        <v>R</v>
      </c>
      <c r="C230" s="51" t="str">
        <f>IF(B230="","",IF(LEN(B230)=2,VLOOKUP(A225,MSB,VLOOKUP(LEFT(B230,1),Teams,6,FALSE),FALSE),VLOOKUP(A225,MSA,VLOOKUP(B230,Teams,6,FALSE),FALSE)))</f>
        <v>Jack Snook</v>
      </c>
      <c r="D230" s="52" t="str">
        <f aca="true" t="shared" si="7" ref="D230:D237">IF(B230="","",VLOOKUP(LEFT(B230,1),Teams,2,FALSE))</f>
        <v>Team Dorset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53"/>
      <c r="T230" s="54"/>
      <c r="U230" s="55"/>
      <c r="V230" s="56"/>
    </row>
    <row r="231" spans="1:22" ht="18.75" customHeight="1">
      <c r="A231" s="49">
        <v>2</v>
      </c>
      <c r="B231" s="50" t="str">
        <f>IF(VALUE(MID(Dec!$B$1,2,1))="","",VLOOKUP(VALUE(MID(Dec!$B$1,2,1)),MJavelin,3))</f>
        <v>E</v>
      </c>
      <c r="C231" s="51" t="str">
        <f>IF(B231="","",IF(LEN(B231)=2,VLOOKUP(A225,MSB,VLOOKUP(LEFT(B231,1),Teams,6,FALSE),FALSE),VLOOKUP(A225,MSA,VLOOKUP(B231,Teams,6,FALSE),FALSE)))</f>
        <v>Ian Frankish</v>
      </c>
      <c r="D231" s="52" t="str">
        <f t="shared" si="7"/>
        <v>Epsom &amp; Ewell</v>
      </c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53"/>
      <c r="T231" s="54"/>
      <c r="U231" s="55"/>
      <c r="V231" s="56"/>
    </row>
    <row r="232" spans="1:22" ht="18.75" customHeight="1">
      <c r="A232" s="49">
        <v>3</v>
      </c>
      <c r="B232" s="50" t="str">
        <f>IF(VALUE(MID(Dec!$B$1,2,1))="","",VLOOKUP(VALUE(MID(Dec!$B$1,2,1)),MJavelin,4))</f>
        <v>Y</v>
      </c>
      <c r="C232" s="51" t="str">
        <f>IF(B232="","",IF(LEN(B232)=2,VLOOKUP(A225,MSB,VLOOKUP(LEFT(B232,1),Teams,6,FALSE),FALSE),VLOOKUP(A225,MSA,VLOOKUP(B232,Teams,6,FALSE),FALSE)))</f>
        <v>Richard Reeks</v>
      </c>
      <c r="D232" s="52" t="str">
        <f t="shared" si="7"/>
        <v>Crawley</v>
      </c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53"/>
      <c r="T232" s="54"/>
      <c r="U232" s="55"/>
      <c r="V232" s="56"/>
    </row>
    <row r="233" spans="1:22" ht="18.75" customHeight="1">
      <c r="A233" s="49">
        <v>4</v>
      </c>
      <c r="B233" s="50" t="str">
        <f>IF(VALUE(MID(Dec!$B$1,2,1))="","",VLOOKUP(VALUE(MID(Dec!$B$1,2,1)),MJavelin,5))</f>
        <v>T</v>
      </c>
      <c r="C233" s="51" t="str">
        <f>IF(B233="","",IF(LEN(B233)=2,VLOOKUP(A225,MSB,VLOOKUP(LEFT(B233,1),Teams,6,FALSE),FALSE),VLOOKUP(A225,MSA,VLOOKUP(B233,Teams,6,FALSE),FALSE)))</f>
        <v>Martyn Ormerod</v>
      </c>
      <c r="D233" s="52" t="str">
        <f t="shared" si="7"/>
        <v>Tonbridge</v>
      </c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53"/>
      <c r="T233" s="54"/>
      <c r="U233" s="55"/>
      <c r="V233" s="56"/>
    </row>
    <row r="234" spans="1:22" ht="18.75" customHeight="1">
      <c r="A234" s="49">
        <v>5</v>
      </c>
      <c r="B234" s="50" t="str">
        <f>IF(VALUE(MID(Dec!$B$1,2,1))="","",VLOOKUP(VALUE(MID(Dec!$B$1,2,1)),MJavelin,6))</f>
        <v>RR</v>
      </c>
      <c r="C234" s="51" t="str">
        <f>IF(B234="","",IF(LEN(B234)=2,VLOOKUP(A225,MSB,VLOOKUP(LEFT(B234,1),Teams,6,FALSE),FALSE),VLOOKUP(A225,MSA,VLOOKUP(B234,Teams,6,FALSE),FALSE)))</f>
        <v>Richard Wheeler</v>
      </c>
      <c r="D234" s="52" t="str">
        <f t="shared" si="7"/>
        <v>Team Dorset</v>
      </c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53"/>
      <c r="T234" s="54"/>
      <c r="U234" s="55"/>
      <c r="V234" s="56"/>
    </row>
    <row r="235" spans="1:22" ht="18.75" customHeight="1">
      <c r="A235" s="49">
        <v>6</v>
      </c>
      <c r="B235" s="50" t="str">
        <f>IF(VALUE(MID(Dec!$B$1,2,1))="","",VLOOKUP(VALUE(MID(Dec!$B$1,2,1)),MJavelin,7))</f>
        <v>EE</v>
      </c>
      <c r="C235" s="51" t="str">
        <f>IF(B235="","",IF(LEN(B235)=2,VLOOKUP(A225,MSB,VLOOKUP(LEFT(B235,1),Teams,6,FALSE),FALSE),VLOOKUP(A225,MSA,VLOOKUP(B235,Teams,6,FALSE),FALSE)))</f>
        <v>Martin Lay</v>
      </c>
      <c r="D235" s="52" t="str">
        <f t="shared" si="7"/>
        <v>Epsom &amp; Ewell</v>
      </c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53"/>
      <c r="T235" s="54"/>
      <c r="U235" s="55"/>
      <c r="V235" s="56"/>
    </row>
    <row r="236" spans="1:22" ht="18.75" customHeight="1">
      <c r="A236" s="49">
        <v>7</v>
      </c>
      <c r="B236" s="50" t="str">
        <f>IF(VALUE(MID(Dec!$B$1,2,1))="","",VLOOKUP(VALUE(MID(Dec!$B$1,2,1)),MJavelin,8))</f>
        <v>YY</v>
      </c>
      <c r="C236" s="51" t="str">
        <f>IF(B236="","",IF(LEN(B236)=2,VLOOKUP(A225,MSB,VLOOKUP(LEFT(B236,1),Teams,6,FALSE),FALSE),VLOOKUP(A225,MSA,VLOOKUP(B236,Teams,6,FALSE),FALSE)))</f>
        <v>Sam Cunningham</v>
      </c>
      <c r="D236" s="52" t="str">
        <f t="shared" si="7"/>
        <v>Crawley</v>
      </c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53"/>
      <c r="T236" s="54"/>
      <c r="U236" s="55"/>
      <c r="V236" s="56"/>
    </row>
    <row r="237" spans="1:22" ht="18.75" customHeight="1">
      <c r="A237" s="49">
        <v>8</v>
      </c>
      <c r="B237" s="50" t="str">
        <f>IF(VALUE(MID(Dec!$B$1,2,1))="","",VLOOKUP(VALUE(MID(Dec!$B$1,2,1)),MJavelin,9))</f>
        <v>TT</v>
      </c>
      <c r="C237" s="51" t="str">
        <f>IF(B237="","",IF(LEN(B237)=2,VLOOKUP(A225,MSB,VLOOKUP(LEFT(B237,1),Teams,6,FALSE),FALSE),VLOOKUP(A225,MSA,VLOOKUP(B237,Teams,6,FALSE),FALSE)))</f>
        <v>Harry Kendal</v>
      </c>
      <c r="D237" s="52" t="str">
        <f t="shared" si="7"/>
        <v>Tonbridge</v>
      </c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53"/>
      <c r="T237" s="54"/>
      <c r="U237" s="55"/>
      <c r="V237" s="56"/>
    </row>
    <row r="238" spans="1:22" ht="18.75" customHeight="1">
      <c r="A238" s="49">
        <v>9</v>
      </c>
      <c r="B238" s="50"/>
      <c r="C238" s="51"/>
      <c r="D238" s="52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53"/>
      <c r="T238" s="54"/>
      <c r="U238" s="55"/>
      <c r="V238" s="56"/>
    </row>
    <row r="239" spans="1:22" ht="18.75" customHeight="1">
      <c r="A239" s="49">
        <v>10</v>
      </c>
      <c r="B239" s="50"/>
      <c r="C239" s="51"/>
      <c r="D239" s="52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53"/>
      <c r="T239" s="54"/>
      <c r="U239" s="55"/>
      <c r="V239" s="56"/>
    </row>
    <row r="240" spans="1:22" ht="18.75" customHeight="1">
      <c r="A240" s="49">
        <v>11</v>
      </c>
      <c r="B240" s="50"/>
      <c r="C240" s="51"/>
      <c r="D240" s="52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53"/>
      <c r="T240" s="54"/>
      <c r="U240" s="55"/>
      <c r="V240" s="56"/>
    </row>
    <row r="241" spans="1:22" ht="18.75" customHeight="1">
      <c r="A241" s="49">
        <v>12</v>
      </c>
      <c r="B241" s="50"/>
      <c r="C241" s="51"/>
      <c r="D241" s="52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53"/>
      <c r="T241" s="54"/>
      <c r="U241" s="55"/>
      <c r="V241" s="56"/>
    </row>
    <row r="242" spans="1:22" ht="18.75" customHeight="1">
      <c r="A242" s="49">
        <v>13</v>
      </c>
      <c r="B242" s="50"/>
      <c r="C242" s="51"/>
      <c r="D242" s="52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53"/>
      <c r="T242" s="54"/>
      <c r="U242" s="55"/>
      <c r="V242" s="56"/>
    </row>
    <row r="243" spans="1:22" ht="18.75" customHeight="1">
      <c r="A243" s="49">
        <v>14</v>
      </c>
      <c r="B243" s="50"/>
      <c r="C243" s="51"/>
      <c r="D243" s="52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53"/>
      <c r="T243" s="54"/>
      <c r="U243" s="55"/>
      <c r="V243" s="56"/>
    </row>
    <row r="244" spans="1:22" ht="18.75" customHeight="1">
      <c r="A244" s="49">
        <v>15</v>
      </c>
      <c r="B244" s="50"/>
      <c r="C244" s="51"/>
      <c r="D244" s="52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53"/>
      <c r="T244" s="54"/>
      <c r="U244" s="55"/>
      <c r="V244" s="56"/>
    </row>
    <row r="245" spans="1:22" ht="18.75" customHeight="1" thickBot="1">
      <c r="A245" s="57">
        <v>16</v>
      </c>
      <c r="B245" s="58"/>
      <c r="C245" s="51"/>
      <c r="D245" s="52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/>
      <c r="U245" s="62"/>
      <c r="V245" s="63"/>
    </row>
    <row r="246" ht="4.5" customHeight="1" thickBot="1"/>
    <row r="247" spans="1:22" ht="12">
      <c r="A247" s="192" t="s">
        <v>829</v>
      </c>
      <c r="B247" s="193"/>
      <c r="C247" s="193"/>
      <c r="D247" s="193"/>
      <c r="E247" s="193"/>
      <c r="F247" s="193"/>
      <c r="G247" s="194"/>
      <c r="H247" s="64" t="s">
        <v>830</v>
      </c>
      <c r="I247" s="195" t="s">
        <v>829</v>
      </c>
      <c r="J247" s="193"/>
      <c r="K247" s="193"/>
      <c r="L247" s="193"/>
      <c r="M247" s="193"/>
      <c r="N247" s="193"/>
      <c r="O247" s="193"/>
      <c r="P247" s="193"/>
      <c r="Q247" s="193"/>
      <c r="R247" s="193"/>
      <c r="S247" s="196"/>
      <c r="T247" s="197" t="s">
        <v>831</v>
      </c>
      <c r="U247" s="198"/>
      <c r="V247" s="199"/>
    </row>
    <row r="248" spans="1:22" ht="12">
      <c r="A248" s="54" t="s">
        <v>832</v>
      </c>
      <c r="B248" s="65" t="s">
        <v>833</v>
      </c>
      <c r="C248" s="48" t="s">
        <v>970</v>
      </c>
      <c r="D248" s="48" t="s">
        <v>971</v>
      </c>
      <c r="E248" s="200" t="s">
        <v>828</v>
      </c>
      <c r="F248" s="200"/>
      <c r="G248" s="65" t="s">
        <v>834</v>
      </c>
      <c r="H248" s="200" t="s">
        <v>832</v>
      </c>
      <c r="I248" s="200"/>
      <c r="J248" s="65" t="s">
        <v>833</v>
      </c>
      <c r="K248" s="183" t="s">
        <v>970</v>
      </c>
      <c r="L248" s="183"/>
      <c r="M248" s="183"/>
      <c r="N248" s="183" t="s">
        <v>971</v>
      </c>
      <c r="O248" s="183"/>
      <c r="P248" s="183"/>
      <c r="Q248" s="201" t="s">
        <v>828</v>
      </c>
      <c r="R248" s="202"/>
      <c r="S248" s="66" t="s">
        <v>834</v>
      </c>
      <c r="T248" s="177"/>
      <c r="U248" s="178"/>
      <c r="V248" s="179"/>
    </row>
    <row r="249" spans="1:22" ht="18.75" customHeight="1">
      <c r="A249" s="67" t="s">
        <v>835</v>
      </c>
      <c r="B249" s="46"/>
      <c r="C249" s="46"/>
      <c r="D249" s="46"/>
      <c r="E249" s="46"/>
      <c r="F249" s="46"/>
      <c r="G249" s="46"/>
      <c r="H249" s="183" t="s">
        <v>836</v>
      </c>
      <c r="I249" s="183"/>
      <c r="J249" s="46"/>
      <c r="K249" s="184"/>
      <c r="L249" s="185"/>
      <c r="M249" s="186"/>
      <c r="N249" s="184"/>
      <c r="O249" s="185"/>
      <c r="P249" s="186"/>
      <c r="Q249" s="46"/>
      <c r="R249" s="46"/>
      <c r="S249" s="53"/>
      <c r="T249" s="177"/>
      <c r="U249" s="178"/>
      <c r="V249" s="179"/>
    </row>
    <row r="250" spans="1:22" ht="18.75" customHeight="1">
      <c r="A250" s="67" t="s">
        <v>837</v>
      </c>
      <c r="B250" s="46"/>
      <c r="C250" s="46"/>
      <c r="D250" s="46"/>
      <c r="E250" s="46"/>
      <c r="F250" s="46"/>
      <c r="G250" s="46"/>
      <c r="H250" s="183" t="s">
        <v>838</v>
      </c>
      <c r="I250" s="183"/>
      <c r="J250" s="46"/>
      <c r="K250" s="184"/>
      <c r="L250" s="185"/>
      <c r="M250" s="186"/>
      <c r="N250" s="184"/>
      <c r="O250" s="185"/>
      <c r="P250" s="186"/>
      <c r="Q250" s="46"/>
      <c r="R250" s="46"/>
      <c r="S250" s="53"/>
      <c r="T250" s="177"/>
      <c r="U250" s="178"/>
      <c r="V250" s="179"/>
    </row>
    <row r="251" spans="1:22" ht="18.75" customHeight="1">
      <c r="A251" s="67" t="s">
        <v>839</v>
      </c>
      <c r="B251" s="46"/>
      <c r="C251" s="46"/>
      <c r="D251" s="46"/>
      <c r="E251" s="46"/>
      <c r="F251" s="46"/>
      <c r="G251" s="46"/>
      <c r="H251" s="183" t="s">
        <v>840</v>
      </c>
      <c r="I251" s="183"/>
      <c r="J251" s="46"/>
      <c r="K251" s="184"/>
      <c r="L251" s="185"/>
      <c r="M251" s="186"/>
      <c r="N251" s="184"/>
      <c r="O251" s="185"/>
      <c r="P251" s="186"/>
      <c r="Q251" s="46"/>
      <c r="R251" s="46"/>
      <c r="S251" s="53"/>
      <c r="T251" s="177"/>
      <c r="U251" s="178"/>
      <c r="V251" s="179"/>
    </row>
    <row r="252" spans="1:22" ht="18.75" customHeight="1">
      <c r="A252" s="67" t="s">
        <v>841</v>
      </c>
      <c r="B252" s="46"/>
      <c r="C252" s="46"/>
      <c r="D252" s="46"/>
      <c r="E252" s="46"/>
      <c r="F252" s="46"/>
      <c r="G252" s="46"/>
      <c r="H252" s="183" t="s">
        <v>842</v>
      </c>
      <c r="I252" s="183"/>
      <c r="J252" s="46"/>
      <c r="K252" s="184"/>
      <c r="L252" s="185"/>
      <c r="M252" s="186"/>
      <c r="N252" s="184"/>
      <c r="O252" s="185"/>
      <c r="P252" s="186"/>
      <c r="Q252" s="46"/>
      <c r="R252" s="46"/>
      <c r="S252" s="53"/>
      <c r="T252" s="177"/>
      <c r="U252" s="178"/>
      <c r="V252" s="179"/>
    </row>
    <row r="253" spans="1:22" ht="18.75" customHeight="1">
      <c r="A253" s="67" t="s">
        <v>843</v>
      </c>
      <c r="B253" s="46"/>
      <c r="C253" s="46"/>
      <c r="D253" s="46"/>
      <c r="E253" s="46"/>
      <c r="F253" s="46"/>
      <c r="G253" s="46"/>
      <c r="H253" s="183" t="s">
        <v>844</v>
      </c>
      <c r="I253" s="183"/>
      <c r="J253" s="46"/>
      <c r="K253" s="184"/>
      <c r="L253" s="185"/>
      <c r="M253" s="186"/>
      <c r="N253" s="184"/>
      <c r="O253" s="185"/>
      <c r="P253" s="186"/>
      <c r="Q253" s="46"/>
      <c r="R253" s="46"/>
      <c r="S253" s="53"/>
      <c r="T253" s="177"/>
      <c r="U253" s="178"/>
      <c r="V253" s="179"/>
    </row>
    <row r="254" spans="1:22" ht="18.75" customHeight="1">
      <c r="A254" s="67" t="s">
        <v>845</v>
      </c>
      <c r="B254" s="46"/>
      <c r="C254" s="46"/>
      <c r="D254" s="46"/>
      <c r="E254" s="46"/>
      <c r="F254" s="46"/>
      <c r="G254" s="46"/>
      <c r="H254" s="183" t="s">
        <v>846</v>
      </c>
      <c r="I254" s="183"/>
      <c r="J254" s="46"/>
      <c r="K254" s="184"/>
      <c r="L254" s="185"/>
      <c r="M254" s="186"/>
      <c r="N254" s="184"/>
      <c r="O254" s="185"/>
      <c r="P254" s="186"/>
      <c r="Q254" s="46"/>
      <c r="R254" s="46"/>
      <c r="S254" s="53"/>
      <c r="T254" s="177" t="s">
        <v>847</v>
      </c>
      <c r="U254" s="178"/>
      <c r="V254" s="179"/>
    </row>
    <row r="255" spans="1:22" ht="18.75" customHeight="1">
      <c r="A255" s="67" t="s">
        <v>848</v>
      </c>
      <c r="B255" s="46"/>
      <c r="C255" s="46"/>
      <c r="D255" s="46"/>
      <c r="E255" s="46"/>
      <c r="F255" s="46"/>
      <c r="G255" s="46"/>
      <c r="H255" s="183" t="s">
        <v>849</v>
      </c>
      <c r="I255" s="183"/>
      <c r="J255" s="46"/>
      <c r="K255" s="184"/>
      <c r="L255" s="185"/>
      <c r="M255" s="186"/>
      <c r="N255" s="184"/>
      <c r="O255" s="185"/>
      <c r="P255" s="186"/>
      <c r="Q255" s="46"/>
      <c r="R255" s="46"/>
      <c r="S255" s="53"/>
      <c r="T255" s="177"/>
      <c r="U255" s="178"/>
      <c r="V255" s="179"/>
    </row>
    <row r="256" spans="1:22" ht="18.75" customHeight="1" thickBot="1">
      <c r="A256" s="68" t="s">
        <v>850</v>
      </c>
      <c r="B256" s="59"/>
      <c r="C256" s="59"/>
      <c r="D256" s="59"/>
      <c r="E256" s="59"/>
      <c r="F256" s="59"/>
      <c r="G256" s="59"/>
      <c r="H256" s="187" t="s">
        <v>851</v>
      </c>
      <c r="I256" s="187"/>
      <c r="J256" s="59"/>
      <c r="K256" s="188"/>
      <c r="L256" s="189"/>
      <c r="M256" s="190"/>
      <c r="N256" s="188"/>
      <c r="O256" s="189"/>
      <c r="P256" s="190"/>
      <c r="Q256" s="59"/>
      <c r="R256" s="59"/>
      <c r="S256" s="60"/>
      <c r="T256" s="180"/>
      <c r="U256" s="181"/>
      <c r="V256" s="182"/>
    </row>
    <row r="257" ht="12">
      <c r="A257" t="s">
        <v>901</v>
      </c>
    </row>
    <row r="258" spans="1:22" ht="12">
      <c r="A258" s="176" t="s">
        <v>812</v>
      </c>
      <c r="B258" s="176"/>
      <c r="C258" s="176"/>
      <c r="D258" s="223" t="str">
        <f>"Date: "&amp;TEXT(Dec!D$3,"dd mmmm yyyy")</f>
        <v>Date: 21 June 2014</v>
      </c>
      <c r="E258" s="223"/>
      <c r="F258" s="223" t="s">
        <v>813</v>
      </c>
      <c r="G258" s="223"/>
      <c r="H258" s="223"/>
      <c r="I258" s="223"/>
      <c r="J258" s="223" t="str">
        <f>"Venue: "&amp;Dec!$B$3</f>
        <v>Venue: Kingston</v>
      </c>
      <c r="K258" s="223"/>
      <c r="L258" s="223"/>
      <c r="M258" s="223"/>
      <c r="N258" s="223"/>
      <c r="O258" s="223" t="s">
        <v>856</v>
      </c>
      <c r="P258" s="223"/>
      <c r="Q258" s="223"/>
      <c r="R258" s="223"/>
      <c r="S258" s="223"/>
      <c r="T258" s="223"/>
      <c r="U258" s="223"/>
      <c r="V258" s="223"/>
    </row>
    <row r="259" spans="1:22" ht="12.75" thickBot="1">
      <c r="A259" s="223" t="str">
        <f>"Event: Women's Triple Jump - "&amp;Dec!B7</f>
        <v>Event: Women's Triple Jump - Team Dorset</v>
      </c>
      <c r="B259" s="223"/>
      <c r="C259" s="223"/>
      <c r="D259" s="223"/>
      <c r="E259" s="223"/>
      <c r="F259" s="223" t="s">
        <v>867</v>
      </c>
      <c r="G259" s="223"/>
      <c r="H259" s="223"/>
      <c r="I259" s="223"/>
      <c r="J259" s="223" t="s">
        <v>814</v>
      </c>
      <c r="K259" s="223"/>
      <c r="L259" s="223"/>
      <c r="M259" s="223"/>
      <c r="N259" s="223"/>
      <c r="O259" s="223" t="s">
        <v>815</v>
      </c>
      <c r="P259" s="223"/>
      <c r="Q259" s="223"/>
      <c r="R259" s="223"/>
      <c r="S259" s="223"/>
      <c r="T259" s="223"/>
      <c r="U259" s="223"/>
      <c r="V259" s="223"/>
    </row>
    <row r="260" spans="1:22" ht="33.75" customHeight="1">
      <c r="A260" s="215" t="s">
        <v>816</v>
      </c>
      <c r="B260" s="217" t="s">
        <v>817</v>
      </c>
      <c r="C260" s="219" t="s">
        <v>862</v>
      </c>
      <c r="D260" s="220"/>
      <c r="E260" s="191" t="s">
        <v>818</v>
      </c>
      <c r="F260" s="191"/>
      <c r="G260" s="191" t="s">
        <v>819</v>
      </c>
      <c r="H260" s="191"/>
      <c r="I260" s="191" t="s">
        <v>820</v>
      </c>
      <c r="J260" s="191"/>
      <c r="K260" s="208" t="s">
        <v>821</v>
      </c>
      <c r="L260" s="208"/>
      <c r="M260" s="203" t="s">
        <v>822</v>
      </c>
      <c r="N260" s="208" t="s">
        <v>823</v>
      </c>
      <c r="O260" s="208"/>
      <c r="P260" s="208" t="s">
        <v>824</v>
      </c>
      <c r="Q260" s="208"/>
      <c r="R260" s="208" t="s">
        <v>825</v>
      </c>
      <c r="S260" s="211"/>
      <c r="T260" s="213" t="s">
        <v>826</v>
      </c>
      <c r="U260" s="214"/>
      <c r="V260" s="205" t="s">
        <v>827</v>
      </c>
    </row>
    <row r="261" spans="1:22" ht="24" customHeight="1">
      <c r="A261" s="216"/>
      <c r="B261" s="218"/>
      <c r="C261" s="221"/>
      <c r="D261" s="222"/>
      <c r="E261" s="207" t="s">
        <v>828</v>
      </c>
      <c r="F261" s="207"/>
      <c r="G261" s="207" t="s">
        <v>828</v>
      </c>
      <c r="H261" s="207"/>
      <c r="I261" s="207" t="s">
        <v>828</v>
      </c>
      <c r="J261" s="207"/>
      <c r="K261" s="207" t="s">
        <v>828</v>
      </c>
      <c r="L261" s="207"/>
      <c r="M261" s="204"/>
      <c r="N261" s="207" t="s">
        <v>828</v>
      </c>
      <c r="O261" s="207"/>
      <c r="P261" s="207" t="s">
        <v>828</v>
      </c>
      <c r="Q261" s="207"/>
      <c r="R261" s="207" t="s">
        <v>828</v>
      </c>
      <c r="S261" s="212"/>
      <c r="T261" s="209" t="s">
        <v>828</v>
      </c>
      <c r="U261" s="210"/>
      <c r="V261" s="206"/>
    </row>
    <row r="262" spans="1:22" ht="18.75" customHeight="1">
      <c r="A262" s="49">
        <v>1</v>
      </c>
      <c r="B262" s="50" t="str">
        <f>IF(VALUE(MID(Dec!$B$1,2,1))="","",VLOOKUP(VALUE(MID(Dec!$B$1,2,1)),WTriple_Jump,2))</f>
        <v>T</v>
      </c>
      <c r="C262" s="51" t="str">
        <f>IF(B262="","",IF(LEN(B262)=2,VLOOKUP(A257,WSB,VLOOKUP(LEFT(B262,1),Teams,6,FALSE),FALSE),VLOOKUP(A257,WSA,VLOOKUP(B262,Teams,6,FALSE),FALSE)))</f>
        <v>Eleanor Ribbits</v>
      </c>
      <c r="D262" s="52" t="str">
        <f aca="true" t="shared" si="8" ref="D262:D269">IF(B262="","",VLOOKUP(LEFT(B262,1),Teams,2,FALSE))</f>
        <v>Tonbridge</v>
      </c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53"/>
      <c r="T262" s="54"/>
      <c r="U262" s="55"/>
      <c r="V262" s="56"/>
    </row>
    <row r="263" spans="1:22" ht="18.75" customHeight="1">
      <c r="A263" s="49">
        <v>2</v>
      </c>
      <c r="B263" s="50" t="str">
        <f>IF(VALUE(MID(Dec!$B$1,2,1))="","",VLOOKUP(VALUE(MID(Dec!$B$1,2,1)),WTriple_Jump,3))</f>
        <v>Y</v>
      </c>
      <c r="C263" s="51" t="str">
        <f>IF(B263="","",IF(LEN(B263)=2,VLOOKUP(A257,WSB,VLOOKUP(LEFT(B263,1),Teams,6,FALSE),FALSE),VLOOKUP(A257,WSA,VLOOKUP(B263,Teams,6,FALSE),FALSE)))</f>
        <v>Becy Owen</v>
      </c>
      <c r="D263" s="52" t="str">
        <f t="shared" si="8"/>
        <v>Crawley</v>
      </c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53"/>
      <c r="T263" s="54"/>
      <c r="U263" s="55"/>
      <c r="V263" s="56"/>
    </row>
    <row r="264" spans="1:22" ht="18.75" customHeight="1">
      <c r="A264" s="49">
        <v>3</v>
      </c>
      <c r="B264" s="50" t="str">
        <f>IF(VALUE(MID(Dec!$B$1,2,1))="","",VLOOKUP(VALUE(MID(Dec!$B$1,2,1)),WTriple_Jump,4))</f>
        <v>R</v>
      </c>
      <c r="C264" s="51">
        <f>IF(B264="","",IF(LEN(B264)=2,VLOOKUP(A257,WSB,VLOOKUP(LEFT(B264,1),Teams,6,FALSE),FALSE),VLOOKUP(A257,WSA,VLOOKUP(B264,Teams,6,FALSE),FALSE)))</f>
        <v>0</v>
      </c>
      <c r="D264" s="52" t="str">
        <f t="shared" si="8"/>
        <v>Team Dorset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53"/>
      <c r="T264" s="54"/>
      <c r="U264" s="55"/>
      <c r="V264" s="56"/>
    </row>
    <row r="265" spans="1:22" ht="18.75" customHeight="1">
      <c r="A265" s="49">
        <v>4</v>
      </c>
      <c r="B265" s="50" t="str">
        <f>IF(VALUE(MID(Dec!$B$1,2,1))="","",VLOOKUP(VALUE(MID(Dec!$B$1,2,1)),WTriple_Jump,5))</f>
        <v>E</v>
      </c>
      <c r="C265" s="51" t="str">
        <f>IF(B265="","",IF(LEN(B265)=2,VLOOKUP(A257,WSB,VLOOKUP(LEFT(B265,1),Teams,6,FALSE),FALSE),VLOOKUP(A257,WSA,VLOOKUP(B265,Teams,6,FALSE),FALSE)))</f>
        <v>Diana Norman</v>
      </c>
      <c r="D265" s="52" t="str">
        <f t="shared" si="8"/>
        <v>Epsom &amp; Ewell</v>
      </c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53"/>
      <c r="T265" s="54"/>
      <c r="U265" s="55"/>
      <c r="V265" s="56"/>
    </row>
    <row r="266" spans="1:22" ht="18.75" customHeight="1">
      <c r="A266" s="49">
        <v>5</v>
      </c>
      <c r="B266" s="50" t="str">
        <f>IF(VALUE(MID(Dec!$B$1,2,1))="","",VLOOKUP(VALUE(MID(Dec!$B$1,2,1)),WTriple_Jump,6))</f>
        <v>TT</v>
      </c>
      <c r="C266" s="51" t="str">
        <f>IF(B266="","",IF(LEN(B266)=2,VLOOKUP(A257,WSB,VLOOKUP(LEFT(B266,1),Teams,6,FALSE),FALSE),VLOOKUP(A257,WSA,VLOOKUP(B266,Teams,6,FALSE),FALSE)))</f>
        <v>Nicola Dobra</v>
      </c>
      <c r="D266" s="52" t="str">
        <f t="shared" si="8"/>
        <v>Tonbridge</v>
      </c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53"/>
      <c r="T266" s="54"/>
      <c r="U266" s="55"/>
      <c r="V266" s="56"/>
    </row>
    <row r="267" spans="1:22" ht="18.75" customHeight="1">
      <c r="A267" s="49">
        <v>6</v>
      </c>
      <c r="B267" s="50" t="str">
        <f>IF(VALUE(MID(Dec!$B$1,2,1))="","",VLOOKUP(VALUE(MID(Dec!$B$1,2,1)),WTriple_Jump,7))</f>
        <v>YY</v>
      </c>
      <c r="C267" s="51" t="str">
        <f>IF(B267="","",IF(LEN(B267)=2,VLOOKUP(A257,WSB,VLOOKUP(LEFT(B267,1),Teams,6,FALSE),FALSE),VLOOKUP(A257,WSA,VLOOKUP(B267,Teams,6,FALSE),FALSE)))</f>
        <v>Paige Clark</v>
      </c>
      <c r="D267" s="52" t="str">
        <f t="shared" si="8"/>
        <v>Crawley</v>
      </c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53"/>
      <c r="T267" s="54"/>
      <c r="U267" s="55"/>
      <c r="V267" s="56"/>
    </row>
    <row r="268" spans="1:22" ht="18.75" customHeight="1">
      <c r="A268" s="49">
        <v>7</v>
      </c>
      <c r="B268" s="50" t="str">
        <f>IF(VALUE(MID(Dec!$B$1,2,1))="","",VLOOKUP(VALUE(MID(Dec!$B$1,2,1)),WTriple_Jump,8))</f>
        <v>RR</v>
      </c>
      <c r="C268" s="51">
        <f>IF(B268="","",IF(LEN(B268)=2,VLOOKUP(A257,WSB,VLOOKUP(LEFT(B268,1),Teams,6,FALSE),FALSE),VLOOKUP(A257,WSA,VLOOKUP(B268,Teams,6,FALSE),FALSE)))</f>
        <v>0</v>
      </c>
      <c r="D268" s="52" t="str">
        <f t="shared" si="8"/>
        <v>Team Dorset</v>
      </c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53"/>
      <c r="T268" s="54"/>
      <c r="U268" s="55"/>
      <c r="V268" s="56"/>
    </row>
    <row r="269" spans="1:22" ht="18.75" customHeight="1">
      <c r="A269" s="49">
        <v>8</v>
      </c>
      <c r="B269" s="50" t="str">
        <f>IF(VALUE(MID(Dec!$B$1,2,1))="","",VLOOKUP(VALUE(MID(Dec!$B$1,2,1)),WTriple_Jump,9))</f>
        <v>EE</v>
      </c>
      <c r="C269" s="51" t="str">
        <f>IF(B269="","",IF(LEN(B269)=2,VLOOKUP(A257,WSB,VLOOKUP(LEFT(B269,1),Teams,6,FALSE),FALSE),VLOOKUP(A257,WSA,VLOOKUP(B269,Teams,6,FALSE),FALSE)))</f>
        <v>Lizzie Thompson</v>
      </c>
      <c r="D269" s="52" t="str">
        <f t="shared" si="8"/>
        <v>Epsom &amp; Ewell</v>
      </c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53"/>
      <c r="T269" s="54"/>
      <c r="U269" s="55"/>
      <c r="V269" s="56"/>
    </row>
    <row r="270" spans="1:22" ht="18.75" customHeight="1">
      <c r="A270" s="49">
        <v>9</v>
      </c>
      <c r="B270" s="50"/>
      <c r="C270" s="51"/>
      <c r="D270" s="52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53"/>
      <c r="T270" s="54"/>
      <c r="U270" s="55"/>
      <c r="V270" s="56"/>
    </row>
    <row r="271" spans="1:22" ht="18.75" customHeight="1">
      <c r="A271" s="49">
        <v>10</v>
      </c>
      <c r="B271" s="50"/>
      <c r="C271" s="51"/>
      <c r="D271" s="52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53"/>
      <c r="T271" s="54"/>
      <c r="U271" s="55"/>
      <c r="V271" s="56"/>
    </row>
    <row r="272" spans="1:22" ht="18.75" customHeight="1">
      <c r="A272" s="49">
        <v>11</v>
      </c>
      <c r="B272" s="50"/>
      <c r="C272" s="51"/>
      <c r="D272" s="52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53"/>
      <c r="T272" s="54"/>
      <c r="U272" s="55"/>
      <c r="V272" s="56"/>
    </row>
    <row r="273" spans="1:22" ht="18.75" customHeight="1">
      <c r="A273" s="49">
        <v>12</v>
      </c>
      <c r="B273" s="50"/>
      <c r="C273" s="51"/>
      <c r="D273" s="52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53"/>
      <c r="T273" s="54"/>
      <c r="U273" s="55"/>
      <c r="V273" s="56"/>
    </row>
    <row r="274" spans="1:22" ht="18.75" customHeight="1">
      <c r="A274" s="49">
        <v>13</v>
      </c>
      <c r="B274" s="50"/>
      <c r="C274" s="51"/>
      <c r="D274" s="52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53"/>
      <c r="T274" s="54"/>
      <c r="U274" s="55"/>
      <c r="V274" s="56"/>
    </row>
    <row r="275" spans="1:22" ht="18.75" customHeight="1">
      <c r="A275" s="49">
        <v>14</v>
      </c>
      <c r="B275" s="50"/>
      <c r="C275" s="51"/>
      <c r="D275" s="52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53"/>
      <c r="T275" s="54"/>
      <c r="U275" s="55"/>
      <c r="V275" s="56"/>
    </row>
    <row r="276" spans="1:22" ht="18.75" customHeight="1">
      <c r="A276" s="49">
        <v>15</v>
      </c>
      <c r="B276" s="50"/>
      <c r="C276" s="51"/>
      <c r="D276" s="52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53"/>
      <c r="T276" s="54"/>
      <c r="U276" s="55"/>
      <c r="V276" s="56"/>
    </row>
    <row r="277" spans="1:22" ht="18.75" customHeight="1" thickBot="1">
      <c r="A277" s="57">
        <v>16</v>
      </c>
      <c r="B277" s="58"/>
      <c r="C277" s="51"/>
      <c r="D277" s="52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60"/>
      <c r="T277" s="61"/>
      <c r="U277" s="62"/>
      <c r="V277" s="63"/>
    </row>
    <row r="278" ht="5.25" customHeight="1" thickBot="1"/>
    <row r="279" spans="1:22" ht="12">
      <c r="A279" s="192" t="s">
        <v>829</v>
      </c>
      <c r="B279" s="193"/>
      <c r="C279" s="193"/>
      <c r="D279" s="193"/>
      <c r="E279" s="193"/>
      <c r="F279" s="193"/>
      <c r="G279" s="194"/>
      <c r="H279" s="64" t="s">
        <v>830</v>
      </c>
      <c r="I279" s="195" t="s">
        <v>829</v>
      </c>
      <c r="J279" s="193"/>
      <c r="K279" s="193"/>
      <c r="L279" s="193"/>
      <c r="M279" s="193"/>
      <c r="N279" s="193"/>
      <c r="O279" s="193"/>
      <c r="P279" s="193"/>
      <c r="Q279" s="193"/>
      <c r="R279" s="193"/>
      <c r="S279" s="196"/>
      <c r="T279" s="197" t="s">
        <v>831</v>
      </c>
      <c r="U279" s="198"/>
      <c r="V279" s="199"/>
    </row>
    <row r="280" spans="1:22" ht="12">
      <c r="A280" s="54" t="s">
        <v>832</v>
      </c>
      <c r="B280" s="65" t="s">
        <v>833</v>
      </c>
      <c r="C280" s="48" t="s">
        <v>970</v>
      </c>
      <c r="D280" s="48" t="s">
        <v>971</v>
      </c>
      <c r="E280" s="200" t="s">
        <v>828</v>
      </c>
      <c r="F280" s="200"/>
      <c r="G280" s="65" t="s">
        <v>834</v>
      </c>
      <c r="H280" s="200" t="s">
        <v>832</v>
      </c>
      <c r="I280" s="200"/>
      <c r="J280" s="65" t="s">
        <v>833</v>
      </c>
      <c r="K280" s="183" t="s">
        <v>970</v>
      </c>
      <c r="L280" s="183"/>
      <c r="M280" s="183"/>
      <c r="N280" s="183" t="s">
        <v>971</v>
      </c>
      <c r="O280" s="183"/>
      <c r="P280" s="183"/>
      <c r="Q280" s="201" t="s">
        <v>828</v>
      </c>
      <c r="R280" s="202"/>
      <c r="S280" s="66" t="s">
        <v>834</v>
      </c>
      <c r="T280" s="177"/>
      <c r="U280" s="178"/>
      <c r="V280" s="179"/>
    </row>
    <row r="281" spans="1:22" ht="18.75" customHeight="1">
      <c r="A281" s="67" t="s">
        <v>835</v>
      </c>
      <c r="B281" s="46"/>
      <c r="C281" s="46"/>
      <c r="D281" s="46"/>
      <c r="E281" s="46"/>
      <c r="F281" s="46"/>
      <c r="G281" s="46"/>
      <c r="H281" s="183" t="s">
        <v>836</v>
      </c>
      <c r="I281" s="183"/>
      <c r="J281" s="46"/>
      <c r="K281" s="184"/>
      <c r="L281" s="185"/>
      <c r="M281" s="186"/>
      <c r="N281" s="184"/>
      <c r="O281" s="185"/>
      <c r="P281" s="186"/>
      <c r="Q281" s="46"/>
      <c r="R281" s="46"/>
      <c r="S281" s="53"/>
      <c r="T281" s="177"/>
      <c r="U281" s="178"/>
      <c r="V281" s="179"/>
    </row>
    <row r="282" spans="1:22" ht="18.75" customHeight="1">
      <c r="A282" s="67" t="s">
        <v>837</v>
      </c>
      <c r="B282" s="46"/>
      <c r="C282" s="46"/>
      <c r="D282" s="46"/>
      <c r="E282" s="46"/>
      <c r="F282" s="46"/>
      <c r="G282" s="46"/>
      <c r="H282" s="183" t="s">
        <v>838</v>
      </c>
      <c r="I282" s="183"/>
      <c r="J282" s="46"/>
      <c r="K282" s="184"/>
      <c r="L282" s="185"/>
      <c r="M282" s="186"/>
      <c r="N282" s="184"/>
      <c r="O282" s="185"/>
      <c r="P282" s="186"/>
      <c r="Q282" s="46"/>
      <c r="R282" s="46"/>
      <c r="S282" s="53"/>
      <c r="T282" s="177"/>
      <c r="U282" s="178"/>
      <c r="V282" s="179"/>
    </row>
    <row r="283" spans="1:22" ht="18.75" customHeight="1">
      <c r="A283" s="67" t="s">
        <v>839</v>
      </c>
      <c r="B283" s="46"/>
      <c r="C283" s="46"/>
      <c r="D283" s="46"/>
      <c r="E283" s="46"/>
      <c r="F283" s="46"/>
      <c r="G283" s="46"/>
      <c r="H283" s="183" t="s">
        <v>840</v>
      </c>
      <c r="I283" s="183"/>
      <c r="J283" s="46"/>
      <c r="K283" s="184"/>
      <c r="L283" s="185"/>
      <c r="M283" s="186"/>
      <c r="N283" s="184"/>
      <c r="O283" s="185"/>
      <c r="P283" s="186"/>
      <c r="Q283" s="46"/>
      <c r="R283" s="46"/>
      <c r="S283" s="53"/>
      <c r="T283" s="177"/>
      <c r="U283" s="178"/>
      <c r="V283" s="179"/>
    </row>
    <row r="284" spans="1:22" ht="18.75" customHeight="1">
      <c r="A284" s="67" t="s">
        <v>841</v>
      </c>
      <c r="B284" s="46"/>
      <c r="C284" s="46"/>
      <c r="D284" s="46"/>
      <c r="E284" s="46"/>
      <c r="F284" s="46"/>
      <c r="G284" s="46"/>
      <c r="H284" s="183" t="s">
        <v>842</v>
      </c>
      <c r="I284" s="183"/>
      <c r="J284" s="46"/>
      <c r="K284" s="184"/>
      <c r="L284" s="185"/>
      <c r="M284" s="186"/>
      <c r="N284" s="184"/>
      <c r="O284" s="185"/>
      <c r="P284" s="186"/>
      <c r="Q284" s="46"/>
      <c r="R284" s="46"/>
      <c r="S284" s="53"/>
      <c r="T284" s="177"/>
      <c r="U284" s="178"/>
      <c r="V284" s="179"/>
    </row>
    <row r="285" spans="1:22" ht="18.75" customHeight="1">
      <c r="A285" s="67" t="s">
        <v>843</v>
      </c>
      <c r="B285" s="46"/>
      <c r="C285" s="46"/>
      <c r="D285" s="46"/>
      <c r="E285" s="46"/>
      <c r="F285" s="46"/>
      <c r="G285" s="46"/>
      <c r="H285" s="183" t="s">
        <v>844</v>
      </c>
      <c r="I285" s="183"/>
      <c r="J285" s="46"/>
      <c r="K285" s="184"/>
      <c r="L285" s="185"/>
      <c r="M285" s="186"/>
      <c r="N285" s="184"/>
      <c r="O285" s="185"/>
      <c r="P285" s="186"/>
      <c r="Q285" s="46"/>
      <c r="R285" s="46"/>
      <c r="S285" s="53"/>
      <c r="T285" s="177"/>
      <c r="U285" s="178"/>
      <c r="V285" s="179"/>
    </row>
    <row r="286" spans="1:22" ht="18.75" customHeight="1">
      <c r="A286" s="67" t="s">
        <v>845</v>
      </c>
      <c r="B286" s="46"/>
      <c r="C286" s="46"/>
      <c r="D286" s="46"/>
      <c r="E286" s="46"/>
      <c r="F286" s="46"/>
      <c r="G286" s="46"/>
      <c r="H286" s="183" t="s">
        <v>846</v>
      </c>
      <c r="I286" s="183"/>
      <c r="J286" s="46"/>
      <c r="K286" s="184"/>
      <c r="L286" s="185"/>
      <c r="M286" s="186"/>
      <c r="N286" s="184"/>
      <c r="O286" s="185"/>
      <c r="P286" s="186"/>
      <c r="Q286" s="46"/>
      <c r="R286" s="46"/>
      <c r="S286" s="53"/>
      <c r="T286" s="177" t="s">
        <v>847</v>
      </c>
      <c r="U286" s="178"/>
      <c r="V286" s="179"/>
    </row>
    <row r="287" spans="1:22" ht="18.75" customHeight="1">
      <c r="A287" s="67" t="s">
        <v>848</v>
      </c>
      <c r="B287" s="46"/>
      <c r="C287" s="46"/>
      <c r="D287" s="46"/>
      <c r="E287" s="46"/>
      <c r="F287" s="46"/>
      <c r="G287" s="46"/>
      <c r="H287" s="183" t="s">
        <v>849</v>
      </c>
      <c r="I287" s="183"/>
      <c r="J287" s="46"/>
      <c r="K287" s="184"/>
      <c r="L287" s="185"/>
      <c r="M287" s="186"/>
      <c r="N287" s="184"/>
      <c r="O287" s="185"/>
      <c r="P287" s="186"/>
      <c r="Q287" s="46"/>
      <c r="R287" s="46"/>
      <c r="S287" s="53"/>
      <c r="T287" s="177"/>
      <c r="U287" s="178"/>
      <c r="V287" s="179"/>
    </row>
    <row r="288" spans="1:22" ht="18.75" customHeight="1" thickBot="1">
      <c r="A288" s="68" t="s">
        <v>850</v>
      </c>
      <c r="B288" s="59"/>
      <c r="C288" s="59"/>
      <c r="D288" s="59"/>
      <c r="E288" s="59"/>
      <c r="F288" s="59"/>
      <c r="G288" s="59"/>
      <c r="H288" s="187" t="s">
        <v>851</v>
      </c>
      <c r="I288" s="187"/>
      <c r="J288" s="59"/>
      <c r="K288" s="188"/>
      <c r="L288" s="189"/>
      <c r="M288" s="190"/>
      <c r="N288" s="188"/>
      <c r="O288" s="189"/>
      <c r="P288" s="190"/>
      <c r="Q288" s="59"/>
      <c r="R288" s="59"/>
      <c r="S288" s="60"/>
      <c r="T288" s="180"/>
      <c r="U288" s="181"/>
      <c r="V288" s="182"/>
    </row>
    <row r="289" ht="12">
      <c r="A289" t="s">
        <v>853</v>
      </c>
    </row>
    <row r="290" spans="1:22" ht="12">
      <c r="A290" s="176" t="s">
        <v>812</v>
      </c>
      <c r="B290" s="176"/>
      <c r="C290" s="176"/>
      <c r="D290" s="223" t="str">
        <f>"Date: "&amp;TEXT(Dec!D$3,"dd mmmm yyyy")</f>
        <v>Date: 21 June 2014</v>
      </c>
      <c r="E290" s="223"/>
      <c r="F290" s="223" t="s">
        <v>813</v>
      </c>
      <c r="G290" s="223"/>
      <c r="H290" s="223"/>
      <c r="I290" s="223"/>
      <c r="J290" s="223" t="str">
        <f>"Venue: "&amp;Dec!$B$3</f>
        <v>Venue: Kingston</v>
      </c>
      <c r="K290" s="223"/>
      <c r="L290" s="223"/>
      <c r="M290" s="223"/>
      <c r="N290" s="223"/>
      <c r="O290" s="223" t="s">
        <v>856</v>
      </c>
      <c r="P290" s="223"/>
      <c r="Q290" s="223"/>
      <c r="R290" s="223"/>
      <c r="S290" s="223"/>
      <c r="T290" s="223"/>
      <c r="U290" s="223"/>
      <c r="V290" s="223"/>
    </row>
    <row r="291" spans="1:22" ht="12.75" thickBot="1">
      <c r="A291" s="223" t="str">
        <f>"Event: Women's Discus - "&amp;Dec!B6</f>
        <v>Event: Women's Discus - Crawley</v>
      </c>
      <c r="B291" s="223"/>
      <c r="C291" s="223"/>
      <c r="D291" s="223"/>
      <c r="E291" s="223"/>
      <c r="F291" s="223" t="s">
        <v>868</v>
      </c>
      <c r="G291" s="223"/>
      <c r="H291" s="223"/>
      <c r="I291" s="223"/>
      <c r="J291" s="223" t="s">
        <v>814</v>
      </c>
      <c r="K291" s="223"/>
      <c r="L291" s="223"/>
      <c r="M291" s="223"/>
      <c r="N291" s="223"/>
      <c r="O291" s="223" t="s">
        <v>815</v>
      </c>
      <c r="P291" s="223"/>
      <c r="Q291" s="223"/>
      <c r="R291" s="223"/>
      <c r="S291" s="223"/>
      <c r="T291" s="223"/>
      <c r="U291" s="223"/>
      <c r="V291" s="223"/>
    </row>
    <row r="292" spans="1:22" ht="33.75" customHeight="1">
      <c r="A292" s="215" t="s">
        <v>816</v>
      </c>
      <c r="B292" s="217" t="s">
        <v>817</v>
      </c>
      <c r="C292" s="219" t="s">
        <v>862</v>
      </c>
      <c r="D292" s="220"/>
      <c r="E292" s="191" t="s">
        <v>818</v>
      </c>
      <c r="F292" s="191"/>
      <c r="G292" s="191" t="s">
        <v>819</v>
      </c>
      <c r="H292" s="191"/>
      <c r="I292" s="191" t="s">
        <v>820</v>
      </c>
      <c r="J292" s="191"/>
      <c r="K292" s="208" t="s">
        <v>821</v>
      </c>
      <c r="L292" s="208"/>
      <c r="M292" s="203" t="s">
        <v>822</v>
      </c>
      <c r="N292" s="208" t="s">
        <v>823</v>
      </c>
      <c r="O292" s="208"/>
      <c r="P292" s="208" t="s">
        <v>824</v>
      </c>
      <c r="Q292" s="208"/>
      <c r="R292" s="208" t="s">
        <v>825</v>
      </c>
      <c r="S292" s="211"/>
      <c r="T292" s="213" t="s">
        <v>826</v>
      </c>
      <c r="U292" s="214"/>
      <c r="V292" s="205" t="s">
        <v>827</v>
      </c>
    </row>
    <row r="293" spans="1:22" ht="24" customHeight="1">
      <c r="A293" s="216"/>
      <c r="B293" s="218"/>
      <c r="C293" s="221"/>
      <c r="D293" s="222"/>
      <c r="E293" s="207" t="s">
        <v>828</v>
      </c>
      <c r="F293" s="207"/>
      <c r="G293" s="207" t="s">
        <v>828</v>
      </c>
      <c r="H293" s="207"/>
      <c r="I293" s="207" t="s">
        <v>828</v>
      </c>
      <c r="J293" s="207"/>
      <c r="K293" s="207" t="s">
        <v>828</v>
      </c>
      <c r="L293" s="207"/>
      <c r="M293" s="204"/>
      <c r="N293" s="207" t="s">
        <v>828</v>
      </c>
      <c r="O293" s="207"/>
      <c r="P293" s="207" t="s">
        <v>828</v>
      </c>
      <c r="Q293" s="207"/>
      <c r="R293" s="207" t="s">
        <v>828</v>
      </c>
      <c r="S293" s="212"/>
      <c r="T293" s="209" t="s">
        <v>828</v>
      </c>
      <c r="U293" s="210"/>
      <c r="V293" s="206"/>
    </row>
    <row r="294" spans="1:22" ht="18.75" customHeight="1">
      <c r="A294" s="49">
        <v>1</v>
      </c>
      <c r="B294" s="50" t="str">
        <f>IF(VALUE(MID(Dec!$B$1,2,1))="","",VLOOKUP(VALUE(MID(Dec!$B$1,2,1)),WDiscus,2))</f>
        <v>Y</v>
      </c>
      <c r="C294" s="51" t="str">
        <f>IF(B294="","",IF(LEN(B294)=2,VLOOKUP(A289,WSB,VLOOKUP(LEFT(B294,1),Teams,6,FALSE),FALSE),VLOOKUP(A289,WSA,VLOOKUP(B294,Teams,6,FALSE),FALSE)))</f>
        <v>Rebecca Baines</v>
      </c>
      <c r="D294" s="52" t="str">
        <f aca="true" t="shared" si="9" ref="D294:D301">IF(B294="","",VLOOKUP(LEFT(B294,1),Teams,2,FALSE))</f>
        <v>Crawley</v>
      </c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53"/>
      <c r="T294" s="54"/>
      <c r="U294" s="55"/>
      <c r="V294" s="56"/>
    </row>
    <row r="295" spans="1:22" ht="18.75" customHeight="1">
      <c r="A295" s="49">
        <v>2</v>
      </c>
      <c r="B295" s="50" t="str">
        <f>IF(VALUE(MID(Dec!$B$1,2,1))="","",VLOOKUP(VALUE(MID(Dec!$B$1,2,1)),WDiscus,3))</f>
        <v>T</v>
      </c>
      <c r="C295" s="51" t="str">
        <f>IF(B295="","",IF(LEN(B295)=2,VLOOKUP(A289,WSB,VLOOKUP(LEFT(B295,1),Teams,6,FALSE),FALSE),VLOOKUP(A289,WSA,VLOOKUP(B295,Teams,6,FALSE),FALSE)))</f>
        <v>Chelsey Eyers</v>
      </c>
      <c r="D295" s="52" t="str">
        <f t="shared" si="9"/>
        <v>Tonbridge</v>
      </c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53"/>
      <c r="T295" s="54"/>
      <c r="U295" s="55"/>
      <c r="V295" s="56"/>
    </row>
    <row r="296" spans="1:22" ht="18.75" customHeight="1">
      <c r="A296" s="49">
        <v>3</v>
      </c>
      <c r="B296" s="50" t="str">
        <f>IF(VALUE(MID(Dec!$B$1,2,1))="","",VLOOKUP(VALUE(MID(Dec!$B$1,2,1)),WDiscus,4))</f>
        <v>R</v>
      </c>
      <c r="C296" s="51" t="str">
        <f>IF(B296="","",IF(LEN(B296)=2,VLOOKUP(A289,WSB,VLOOKUP(LEFT(B296,1),Teams,6,FALSE),FALSE),VLOOKUP(A289,WSA,VLOOKUP(B296,Teams,6,FALSE),FALSE)))</f>
        <v>Jess May</v>
      </c>
      <c r="D296" s="52" t="str">
        <f t="shared" si="9"/>
        <v>Team Dorset</v>
      </c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53"/>
      <c r="T296" s="54"/>
      <c r="U296" s="55"/>
      <c r="V296" s="56"/>
    </row>
    <row r="297" spans="1:22" ht="18.75" customHeight="1">
      <c r="A297" s="49">
        <v>4</v>
      </c>
      <c r="B297" s="50" t="str">
        <f>IF(VALUE(MID(Dec!$B$1,2,1))="","",VLOOKUP(VALUE(MID(Dec!$B$1,2,1)),WDiscus,5))</f>
        <v>E</v>
      </c>
      <c r="C297" s="51" t="str">
        <f>IF(B297="","",IF(LEN(B297)=2,VLOOKUP(A289,WSB,VLOOKUP(LEFT(B297,1),Teams,6,FALSE),FALSE),VLOOKUP(A289,WSA,VLOOKUP(B297,Teams,6,FALSE),FALSE)))</f>
        <v>Wendy Dunsford</v>
      </c>
      <c r="D297" s="52" t="str">
        <f t="shared" si="9"/>
        <v>Epsom &amp; Ewell</v>
      </c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53"/>
      <c r="T297" s="54"/>
      <c r="U297" s="55"/>
      <c r="V297" s="56"/>
    </row>
    <row r="298" spans="1:22" ht="18.75" customHeight="1">
      <c r="A298" s="49">
        <v>5</v>
      </c>
      <c r="B298" s="50" t="str">
        <f>IF(VALUE(MID(Dec!$B$1,2,1))="","",VLOOKUP(VALUE(MID(Dec!$B$1,2,1)),WDiscus,6))</f>
        <v>YY</v>
      </c>
      <c r="C298" s="51" t="str">
        <f>IF(B298="","",IF(LEN(B298)=2,VLOOKUP(A289,WSB,VLOOKUP(LEFT(B298,1),Teams,6,FALSE),FALSE),VLOOKUP(A289,WSA,VLOOKUP(B298,Teams,6,FALSE),FALSE)))</f>
        <v>Jo Rowland</v>
      </c>
      <c r="D298" s="52" t="str">
        <f t="shared" si="9"/>
        <v>Crawley</v>
      </c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53"/>
      <c r="T298" s="54"/>
      <c r="U298" s="55"/>
      <c r="V298" s="56"/>
    </row>
    <row r="299" spans="1:22" ht="18.75" customHeight="1">
      <c r="A299" s="49">
        <v>6</v>
      </c>
      <c r="B299" s="50" t="str">
        <f>IF(VALUE(MID(Dec!$B$1,2,1))="","",VLOOKUP(VALUE(MID(Dec!$B$1,2,1)),WDiscus,7))</f>
        <v>TT</v>
      </c>
      <c r="C299" s="51" t="str">
        <f>IF(B299="","",IF(LEN(B299)=2,VLOOKUP(A289,WSB,VLOOKUP(LEFT(B299,1),Teams,6,FALSE),FALSE),VLOOKUP(A289,WSA,VLOOKUP(B299,Teams,6,FALSE),FALSE)))</f>
        <v>Nicola Dobra</v>
      </c>
      <c r="D299" s="52" t="str">
        <f t="shared" si="9"/>
        <v>Tonbridge</v>
      </c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53"/>
      <c r="T299" s="54"/>
      <c r="U299" s="55"/>
      <c r="V299" s="56"/>
    </row>
    <row r="300" spans="1:22" ht="18.75" customHeight="1">
      <c r="A300" s="49">
        <v>7</v>
      </c>
      <c r="B300" s="50" t="str">
        <f>IF(VALUE(MID(Dec!$B$1,2,1))="","",VLOOKUP(VALUE(MID(Dec!$B$1,2,1)),WDiscus,8))</f>
        <v>RR</v>
      </c>
      <c r="C300" s="51" t="str">
        <f>IF(B300="","",IF(LEN(B300)=2,VLOOKUP(A289,WSB,VLOOKUP(LEFT(B300,1),Teams,6,FALSE),FALSE),VLOOKUP(A289,WSA,VLOOKUP(B300,Teams,6,FALSE),FALSE)))</f>
        <v>Aiste Razmaite</v>
      </c>
      <c r="D300" s="52" t="str">
        <f t="shared" si="9"/>
        <v>Team Dorset</v>
      </c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53"/>
      <c r="T300" s="54"/>
      <c r="U300" s="55"/>
      <c r="V300" s="56"/>
    </row>
    <row r="301" spans="1:22" ht="18.75" customHeight="1">
      <c r="A301" s="49">
        <v>8</v>
      </c>
      <c r="B301" s="50" t="str">
        <f>IF(VALUE(MID(Dec!$B$1,2,1))="","",VLOOKUP(VALUE(MID(Dec!$B$1,2,1)),WDiscus,9))</f>
        <v>EE</v>
      </c>
      <c r="C301" s="51" t="str">
        <f>IF(B301="","",IF(LEN(B301)=2,VLOOKUP(A289,WSB,VLOOKUP(LEFT(B301,1),Teams,6,FALSE),FALSE),VLOOKUP(A289,WSA,VLOOKUP(B301,Teams,6,FALSE),FALSE)))</f>
        <v>Jordyn Robinson</v>
      </c>
      <c r="D301" s="52" t="str">
        <f t="shared" si="9"/>
        <v>Epsom &amp; Ewell</v>
      </c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53"/>
      <c r="T301" s="54"/>
      <c r="U301" s="55"/>
      <c r="V301" s="56"/>
    </row>
    <row r="302" spans="1:22" ht="18.75" customHeight="1">
      <c r="A302" s="49">
        <v>9</v>
      </c>
      <c r="B302" s="50"/>
      <c r="C302" s="51"/>
      <c r="D302" s="52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53"/>
      <c r="T302" s="54"/>
      <c r="U302" s="55"/>
      <c r="V302" s="56"/>
    </row>
    <row r="303" spans="1:22" ht="18.75" customHeight="1">
      <c r="A303" s="49">
        <v>10</v>
      </c>
      <c r="B303" s="50"/>
      <c r="C303" s="51"/>
      <c r="D303" s="52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53"/>
      <c r="T303" s="54"/>
      <c r="U303" s="55"/>
      <c r="V303" s="56"/>
    </row>
    <row r="304" spans="1:22" ht="18.75" customHeight="1">
      <c r="A304" s="49">
        <v>11</v>
      </c>
      <c r="B304" s="50"/>
      <c r="C304" s="51"/>
      <c r="D304" s="52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53"/>
      <c r="T304" s="54"/>
      <c r="U304" s="55"/>
      <c r="V304" s="56"/>
    </row>
    <row r="305" spans="1:22" ht="18.75" customHeight="1">
      <c r="A305" s="49">
        <v>12</v>
      </c>
      <c r="B305" s="50"/>
      <c r="C305" s="51"/>
      <c r="D305" s="52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53"/>
      <c r="T305" s="54"/>
      <c r="U305" s="55"/>
      <c r="V305" s="56"/>
    </row>
    <row r="306" spans="1:22" ht="18.75" customHeight="1">
      <c r="A306" s="49">
        <v>13</v>
      </c>
      <c r="B306" s="50"/>
      <c r="C306" s="51"/>
      <c r="D306" s="52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53"/>
      <c r="T306" s="54"/>
      <c r="U306" s="55"/>
      <c r="V306" s="56"/>
    </row>
    <row r="307" spans="1:22" ht="18.75" customHeight="1">
      <c r="A307" s="49">
        <v>14</v>
      </c>
      <c r="B307" s="50"/>
      <c r="C307" s="51"/>
      <c r="D307" s="52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53"/>
      <c r="T307" s="54"/>
      <c r="U307" s="55"/>
      <c r="V307" s="56"/>
    </row>
    <row r="308" spans="1:22" ht="18.75" customHeight="1">
      <c r="A308" s="49">
        <v>15</v>
      </c>
      <c r="B308" s="50"/>
      <c r="C308" s="51"/>
      <c r="D308" s="52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53"/>
      <c r="T308" s="54"/>
      <c r="U308" s="55"/>
      <c r="V308" s="56"/>
    </row>
    <row r="309" spans="1:22" ht="18.75" customHeight="1" thickBot="1">
      <c r="A309" s="57">
        <v>16</v>
      </c>
      <c r="B309" s="58"/>
      <c r="C309" s="51"/>
      <c r="D309" s="52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60"/>
      <c r="T309" s="61"/>
      <c r="U309" s="62"/>
      <c r="V309" s="63"/>
    </row>
    <row r="310" ht="4.5" customHeight="1" thickBot="1"/>
    <row r="311" spans="1:22" ht="12">
      <c r="A311" s="192" t="s">
        <v>829</v>
      </c>
      <c r="B311" s="193"/>
      <c r="C311" s="193"/>
      <c r="D311" s="193"/>
      <c r="E311" s="193"/>
      <c r="F311" s="193"/>
      <c r="G311" s="194"/>
      <c r="H311" s="64" t="s">
        <v>830</v>
      </c>
      <c r="I311" s="195" t="s">
        <v>829</v>
      </c>
      <c r="J311" s="193"/>
      <c r="K311" s="193"/>
      <c r="L311" s="193"/>
      <c r="M311" s="193"/>
      <c r="N311" s="193"/>
      <c r="O311" s="193"/>
      <c r="P311" s="193"/>
      <c r="Q311" s="193"/>
      <c r="R311" s="193"/>
      <c r="S311" s="196"/>
      <c r="T311" s="197" t="s">
        <v>831</v>
      </c>
      <c r="U311" s="198"/>
      <c r="V311" s="199"/>
    </row>
    <row r="312" spans="1:22" ht="12">
      <c r="A312" s="54" t="s">
        <v>832</v>
      </c>
      <c r="B312" s="65" t="s">
        <v>833</v>
      </c>
      <c r="C312" s="48" t="s">
        <v>970</v>
      </c>
      <c r="D312" s="48" t="s">
        <v>971</v>
      </c>
      <c r="E312" s="200" t="s">
        <v>828</v>
      </c>
      <c r="F312" s="200"/>
      <c r="G312" s="65" t="s">
        <v>834</v>
      </c>
      <c r="H312" s="200" t="s">
        <v>832</v>
      </c>
      <c r="I312" s="200"/>
      <c r="J312" s="65" t="s">
        <v>833</v>
      </c>
      <c r="K312" s="183" t="s">
        <v>970</v>
      </c>
      <c r="L312" s="183"/>
      <c r="M312" s="183"/>
      <c r="N312" s="183" t="s">
        <v>971</v>
      </c>
      <c r="O312" s="183"/>
      <c r="P312" s="183"/>
      <c r="Q312" s="201" t="s">
        <v>828</v>
      </c>
      <c r="R312" s="202"/>
      <c r="S312" s="66" t="s">
        <v>834</v>
      </c>
      <c r="T312" s="177"/>
      <c r="U312" s="178"/>
      <c r="V312" s="179"/>
    </row>
    <row r="313" spans="1:22" ht="18.75" customHeight="1">
      <c r="A313" s="67" t="s">
        <v>835</v>
      </c>
      <c r="B313" s="46"/>
      <c r="C313" s="46"/>
      <c r="D313" s="46"/>
      <c r="E313" s="46"/>
      <c r="F313" s="46"/>
      <c r="G313" s="46"/>
      <c r="H313" s="183" t="s">
        <v>836</v>
      </c>
      <c r="I313" s="183"/>
      <c r="J313" s="46"/>
      <c r="K313" s="184"/>
      <c r="L313" s="185"/>
      <c r="M313" s="186"/>
      <c r="N313" s="184"/>
      <c r="O313" s="185"/>
      <c r="P313" s="186"/>
      <c r="Q313" s="46"/>
      <c r="R313" s="46"/>
      <c r="S313" s="53"/>
      <c r="T313" s="177"/>
      <c r="U313" s="178"/>
      <c r="V313" s="179"/>
    </row>
    <row r="314" spans="1:22" ht="18.75" customHeight="1">
      <c r="A314" s="67" t="s">
        <v>837</v>
      </c>
      <c r="B314" s="46"/>
      <c r="C314" s="46"/>
      <c r="D314" s="46"/>
      <c r="E314" s="46"/>
      <c r="F314" s="46"/>
      <c r="G314" s="46"/>
      <c r="H314" s="183" t="s">
        <v>838</v>
      </c>
      <c r="I314" s="183"/>
      <c r="J314" s="46"/>
      <c r="K314" s="184"/>
      <c r="L314" s="185"/>
      <c r="M314" s="186"/>
      <c r="N314" s="184"/>
      <c r="O314" s="185"/>
      <c r="P314" s="186"/>
      <c r="Q314" s="46"/>
      <c r="R314" s="46"/>
      <c r="S314" s="53"/>
      <c r="T314" s="177"/>
      <c r="U314" s="178"/>
      <c r="V314" s="179"/>
    </row>
    <row r="315" spans="1:22" ht="18.75" customHeight="1">
      <c r="A315" s="67" t="s">
        <v>839</v>
      </c>
      <c r="B315" s="46"/>
      <c r="C315" s="46"/>
      <c r="D315" s="46"/>
      <c r="E315" s="46"/>
      <c r="F315" s="46"/>
      <c r="G315" s="46"/>
      <c r="H315" s="183" t="s">
        <v>840</v>
      </c>
      <c r="I315" s="183"/>
      <c r="J315" s="46"/>
      <c r="K315" s="184"/>
      <c r="L315" s="185"/>
      <c r="M315" s="186"/>
      <c r="N315" s="184"/>
      <c r="O315" s="185"/>
      <c r="P315" s="186"/>
      <c r="Q315" s="46"/>
      <c r="R315" s="46"/>
      <c r="S315" s="53"/>
      <c r="T315" s="177"/>
      <c r="U315" s="178"/>
      <c r="V315" s="179"/>
    </row>
    <row r="316" spans="1:22" ht="18.75" customHeight="1">
      <c r="A316" s="67" t="s">
        <v>841</v>
      </c>
      <c r="B316" s="46"/>
      <c r="C316" s="46"/>
      <c r="D316" s="46"/>
      <c r="E316" s="46"/>
      <c r="F316" s="46"/>
      <c r="G316" s="46"/>
      <c r="H316" s="183" t="s">
        <v>842</v>
      </c>
      <c r="I316" s="183"/>
      <c r="J316" s="46"/>
      <c r="K316" s="184"/>
      <c r="L316" s="185"/>
      <c r="M316" s="186"/>
      <c r="N316" s="184"/>
      <c r="O316" s="185"/>
      <c r="P316" s="186"/>
      <c r="Q316" s="46"/>
      <c r="R316" s="46"/>
      <c r="S316" s="53"/>
      <c r="T316" s="177"/>
      <c r="U316" s="178"/>
      <c r="V316" s="179"/>
    </row>
    <row r="317" spans="1:22" ht="18.75" customHeight="1">
      <c r="A317" s="67" t="s">
        <v>843</v>
      </c>
      <c r="B317" s="46"/>
      <c r="C317" s="46"/>
      <c r="D317" s="46"/>
      <c r="E317" s="46"/>
      <c r="F317" s="46"/>
      <c r="G317" s="46"/>
      <c r="H317" s="183" t="s">
        <v>844</v>
      </c>
      <c r="I317" s="183"/>
      <c r="J317" s="46"/>
      <c r="K317" s="184"/>
      <c r="L317" s="185"/>
      <c r="M317" s="186"/>
      <c r="N317" s="184"/>
      <c r="O317" s="185"/>
      <c r="P317" s="186"/>
      <c r="Q317" s="46"/>
      <c r="R317" s="46"/>
      <c r="S317" s="53"/>
      <c r="T317" s="177"/>
      <c r="U317" s="178"/>
      <c r="V317" s="179"/>
    </row>
    <row r="318" spans="1:22" ht="18.75" customHeight="1">
      <c r="A318" s="67" t="s">
        <v>845</v>
      </c>
      <c r="B318" s="46"/>
      <c r="C318" s="46"/>
      <c r="D318" s="46"/>
      <c r="E318" s="46"/>
      <c r="F318" s="46"/>
      <c r="G318" s="46"/>
      <c r="H318" s="183" t="s">
        <v>846</v>
      </c>
      <c r="I318" s="183"/>
      <c r="J318" s="46"/>
      <c r="K318" s="184"/>
      <c r="L318" s="185"/>
      <c r="M318" s="186"/>
      <c r="N318" s="184"/>
      <c r="O318" s="185"/>
      <c r="P318" s="186"/>
      <c r="Q318" s="46"/>
      <c r="R318" s="46"/>
      <c r="S318" s="53"/>
      <c r="T318" s="177" t="s">
        <v>847</v>
      </c>
      <c r="U318" s="178"/>
      <c r="V318" s="179"/>
    </row>
    <row r="319" spans="1:22" ht="18.75" customHeight="1">
      <c r="A319" s="67" t="s">
        <v>848</v>
      </c>
      <c r="B319" s="46"/>
      <c r="C319" s="46"/>
      <c r="D319" s="46"/>
      <c r="E319" s="46"/>
      <c r="F319" s="46"/>
      <c r="G319" s="46"/>
      <c r="H319" s="183" t="s">
        <v>849</v>
      </c>
      <c r="I319" s="183"/>
      <c r="J319" s="46"/>
      <c r="K319" s="184"/>
      <c r="L319" s="185"/>
      <c r="M319" s="186"/>
      <c r="N319" s="184"/>
      <c r="O319" s="185"/>
      <c r="P319" s="186"/>
      <c r="Q319" s="46"/>
      <c r="R319" s="46"/>
      <c r="S319" s="53"/>
      <c r="T319" s="177"/>
      <c r="U319" s="178"/>
      <c r="V319" s="179"/>
    </row>
    <row r="320" spans="1:22" ht="18.75" customHeight="1" thickBot="1">
      <c r="A320" s="68" t="s">
        <v>850</v>
      </c>
      <c r="B320" s="59"/>
      <c r="C320" s="59"/>
      <c r="D320" s="59"/>
      <c r="E320" s="59"/>
      <c r="F320" s="59"/>
      <c r="G320" s="59"/>
      <c r="H320" s="187" t="s">
        <v>851</v>
      </c>
      <c r="I320" s="187"/>
      <c r="J320" s="59"/>
      <c r="K320" s="188"/>
      <c r="L320" s="189"/>
      <c r="M320" s="190"/>
      <c r="N320" s="188"/>
      <c r="O320" s="189"/>
      <c r="P320" s="190"/>
      <c r="Q320" s="59"/>
      <c r="R320" s="59"/>
      <c r="S320" s="60"/>
      <c r="T320" s="180"/>
      <c r="U320" s="181"/>
      <c r="V320" s="182"/>
    </row>
    <row r="321" ht="12">
      <c r="A321" t="s">
        <v>901</v>
      </c>
    </row>
    <row r="322" spans="1:22" ht="12">
      <c r="A322" s="176" t="s">
        <v>812</v>
      </c>
      <c r="B322" s="176"/>
      <c r="C322" s="176"/>
      <c r="D322" s="223" t="str">
        <f>"Date: "&amp;TEXT(Dec!D$3,"dd mmmm yyyy")</f>
        <v>Date: 21 June 2014</v>
      </c>
      <c r="E322" s="223"/>
      <c r="F322" s="223" t="s">
        <v>813</v>
      </c>
      <c r="G322" s="223"/>
      <c r="H322" s="223"/>
      <c r="I322" s="223"/>
      <c r="J322" s="223" t="str">
        <f>"Venue: "&amp;Dec!$B$3</f>
        <v>Venue: Kingston</v>
      </c>
      <c r="K322" s="223"/>
      <c r="L322" s="223"/>
      <c r="M322" s="223"/>
      <c r="N322" s="223"/>
      <c r="O322" s="223" t="s">
        <v>856</v>
      </c>
      <c r="P322" s="223"/>
      <c r="Q322" s="223"/>
      <c r="R322" s="223"/>
      <c r="S322" s="223"/>
      <c r="T322" s="223"/>
      <c r="U322" s="223"/>
      <c r="V322" s="223"/>
    </row>
    <row r="323" spans="1:22" ht="12.75" thickBot="1">
      <c r="A323" s="223" t="str">
        <f>"Event: Men's Triple Jump - "&amp;Dec!B7</f>
        <v>Event: Men's Triple Jump - Team Dorset</v>
      </c>
      <c r="B323" s="223"/>
      <c r="C323" s="223"/>
      <c r="D323" s="223"/>
      <c r="E323" s="223"/>
      <c r="F323" s="223" t="s">
        <v>869</v>
      </c>
      <c r="G323" s="223"/>
      <c r="H323" s="223"/>
      <c r="I323" s="223"/>
      <c r="J323" s="223" t="s">
        <v>814</v>
      </c>
      <c r="K323" s="223"/>
      <c r="L323" s="223"/>
      <c r="M323" s="223"/>
      <c r="N323" s="223"/>
      <c r="O323" s="223" t="s">
        <v>815</v>
      </c>
      <c r="P323" s="223"/>
      <c r="Q323" s="223"/>
      <c r="R323" s="223"/>
      <c r="S323" s="223"/>
      <c r="T323" s="223"/>
      <c r="U323" s="223"/>
      <c r="V323" s="223"/>
    </row>
    <row r="324" spans="1:22" ht="33.75" customHeight="1">
      <c r="A324" s="215" t="s">
        <v>816</v>
      </c>
      <c r="B324" s="217" t="s">
        <v>817</v>
      </c>
      <c r="C324" s="219" t="s">
        <v>862</v>
      </c>
      <c r="D324" s="220"/>
      <c r="E324" s="191" t="s">
        <v>818</v>
      </c>
      <c r="F324" s="191"/>
      <c r="G324" s="191" t="s">
        <v>819</v>
      </c>
      <c r="H324" s="191"/>
      <c r="I324" s="191" t="s">
        <v>820</v>
      </c>
      <c r="J324" s="191"/>
      <c r="K324" s="208" t="s">
        <v>821</v>
      </c>
      <c r="L324" s="208"/>
      <c r="M324" s="203" t="s">
        <v>822</v>
      </c>
      <c r="N324" s="208" t="s">
        <v>823</v>
      </c>
      <c r="O324" s="208"/>
      <c r="P324" s="208" t="s">
        <v>824</v>
      </c>
      <c r="Q324" s="208"/>
      <c r="R324" s="208" t="s">
        <v>825</v>
      </c>
      <c r="S324" s="211"/>
      <c r="T324" s="213" t="s">
        <v>826</v>
      </c>
      <c r="U324" s="214"/>
      <c r="V324" s="205" t="s">
        <v>827</v>
      </c>
    </row>
    <row r="325" spans="1:22" ht="24" customHeight="1">
      <c r="A325" s="216"/>
      <c r="B325" s="218"/>
      <c r="C325" s="221"/>
      <c r="D325" s="222"/>
      <c r="E325" s="207" t="s">
        <v>828</v>
      </c>
      <c r="F325" s="207"/>
      <c r="G325" s="207" t="s">
        <v>828</v>
      </c>
      <c r="H325" s="207"/>
      <c r="I325" s="207" t="s">
        <v>828</v>
      </c>
      <c r="J325" s="207"/>
      <c r="K325" s="207" t="s">
        <v>828</v>
      </c>
      <c r="L325" s="207"/>
      <c r="M325" s="204"/>
      <c r="N325" s="207" t="s">
        <v>828</v>
      </c>
      <c r="O325" s="207"/>
      <c r="P325" s="207" t="s">
        <v>828</v>
      </c>
      <c r="Q325" s="207"/>
      <c r="R325" s="207" t="s">
        <v>828</v>
      </c>
      <c r="S325" s="212"/>
      <c r="T325" s="209" t="s">
        <v>828</v>
      </c>
      <c r="U325" s="210"/>
      <c r="V325" s="206"/>
    </row>
    <row r="326" spans="1:22" ht="18.75" customHeight="1">
      <c r="A326" s="49">
        <v>1</v>
      </c>
      <c r="B326" s="50" t="str">
        <f>IF(VALUE(MID(Dec!$B$1,2,1))="","",VLOOKUP(VALUE(MID(Dec!$B$1,2,1)),MTriple_Jump,2))</f>
        <v>Y</v>
      </c>
      <c r="C326" s="51" t="str">
        <f>IF(B326="","",IF(LEN(B326)=2,VLOOKUP(A321,MSB,VLOOKUP(LEFT(B326,1),Teams,6,FALSE),FALSE),VLOOKUP(A321,MSA,VLOOKUP(B326,Teams,6,FALSE),FALSE)))</f>
        <v>Jamie Moore </v>
      </c>
      <c r="D326" s="52" t="str">
        <f aca="true" t="shared" si="10" ref="D326:D333">IF(B326="","",VLOOKUP(LEFT(B326,1),Teams,2,FALSE))</f>
        <v>Crawley</v>
      </c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53"/>
      <c r="T326" s="54"/>
      <c r="U326" s="55"/>
      <c r="V326" s="56"/>
    </row>
    <row r="327" spans="1:22" ht="18.75" customHeight="1">
      <c r="A327" s="49">
        <v>2</v>
      </c>
      <c r="B327" s="50" t="str">
        <f>IF(VALUE(MID(Dec!$B$1,2,1))="","",VLOOKUP(VALUE(MID(Dec!$B$1,2,1)),MTriple_Jump,3))</f>
        <v>T</v>
      </c>
      <c r="C327" s="51" t="str">
        <f>IF(B327="","",IF(LEN(B327)=2,VLOOKUP(A321,MSB,VLOOKUP(LEFT(B327,1),Teams,6,FALSE),FALSE),VLOOKUP(A321,MSA,VLOOKUP(B327,Teams,6,FALSE),FALSE)))</f>
        <v>Neil Woodfine</v>
      </c>
      <c r="D327" s="52" t="str">
        <f t="shared" si="10"/>
        <v>Tonbridge</v>
      </c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53"/>
      <c r="T327" s="54"/>
      <c r="U327" s="55"/>
      <c r="V327" s="56"/>
    </row>
    <row r="328" spans="1:22" ht="18.75" customHeight="1">
      <c r="A328" s="49">
        <v>3</v>
      </c>
      <c r="B328" s="50" t="str">
        <f>IF(VALUE(MID(Dec!$B$1,2,1))="","",VLOOKUP(VALUE(MID(Dec!$B$1,2,1)),MTriple_Jump,4))</f>
        <v>E</v>
      </c>
      <c r="C328" s="51" t="str">
        <f>IF(B328="","",IF(LEN(B328)=2,VLOOKUP(A321,MSB,VLOOKUP(LEFT(B328,1),Teams,6,FALSE),FALSE),VLOOKUP(A321,MSA,VLOOKUP(B328,Teams,6,FALSE),FALSE)))</f>
        <v>Martin Lay</v>
      </c>
      <c r="D328" s="52" t="str">
        <f t="shared" si="10"/>
        <v>Epsom &amp; Ewell</v>
      </c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53"/>
      <c r="T328" s="54"/>
      <c r="U328" s="55"/>
      <c r="V328" s="56"/>
    </row>
    <row r="329" spans="1:22" ht="18.75" customHeight="1">
      <c r="A329" s="49">
        <v>4</v>
      </c>
      <c r="B329" s="50" t="str">
        <f>IF(VALUE(MID(Dec!$B$1,2,1))="","",VLOOKUP(VALUE(MID(Dec!$B$1,2,1)),MTriple_Jump,5))</f>
        <v>R</v>
      </c>
      <c r="C329" s="51" t="str">
        <f>IF(B329="","",IF(LEN(B329)=2,VLOOKUP(A321,MSB,VLOOKUP(LEFT(B329,1),Teams,6,FALSE),FALSE),VLOOKUP(A321,MSA,VLOOKUP(B329,Teams,6,FALSE),FALSE)))</f>
        <v>David Pearson</v>
      </c>
      <c r="D329" s="52" t="str">
        <f t="shared" si="10"/>
        <v>Team Dorset</v>
      </c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53"/>
      <c r="T329" s="54"/>
      <c r="U329" s="55"/>
      <c r="V329" s="56"/>
    </row>
    <row r="330" spans="1:22" ht="18.75" customHeight="1">
      <c r="A330" s="49">
        <v>5</v>
      </c>
      <c r="B330" s="50" t="str">
        <f>IF(VALUE(MID(Dec!$B$1,2,1))="","",VLOOKUP(VALUE(MID(Dec!$B$1,2,1)),MTriple_Jump,6))</f>
        <v>YY</v>
      </c>
      <c r="C330" s="51" t="str">
        <f>IF(B330="","",IF(LEN(B330)=2,VLOOKUP(A321,MSB,VLOOKUP(LEFT(B330,1),Teams,6,FALSE),FALSE),VLOOKUP(A321,MSA,VLOOKUP(B330,Teams,6,FALSE),FALSE)))</f>
        <v>Sam Cunningham</v>
      </c>
      <c r="D330" s="52" t="str">
        <f t="shared" si="10"/>
        <v>Crawley</v>
      </c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53"/>
      <c r="T330" s="54"/>
      <c r="U330" s="55"/>
      <c r="V330" s="56"/>
    </row>
    <row r="331" spans="1:22" ht="18.75" customHeight="1">
      <c r="A331" s="49">
        <v>6</v>
      </c>
      <c r="B331" s="50" t="str">
        <f>IF(VALUE(MID(Dec!$B$1,2,1))="","",VLOOKUP(VALUE(MID(Dec!$B$1,2,1)),MTriple_Jump,7))</f>
        <v>TT</v>
      </c>
      <c r="C331" s="51">
        <f>IF(B331="","",IF(LEN(B331)=2,VLOOKUP(A321,MSB,VLOOKUP(LEFT(B331,1),Teams,6,FALSE),FALSE),VLOOKUP(A321,MSA,VLOOKUP(B331,Teams,6,FALSE),FALSE)))</f>
        <v>0</v>
      </c>
      <c r="D331" s="52" t="str">
        <f t="shared" si="10"/>
        <v>Tonbridge</v>
      </c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53"/>
      <c r="T331" s="54"/>
      <c r="U331" s="55"/>
      <c r="V331" s="56"/>
    </row>
    <row r="332" spans="1:22" ht="18.75" customHeight="1">
      <c r="A332" s="49">
        <v>7</v>
      </c>
      <c r="B332" s="50" t="str">
        <f>IF(VALUE(MID(Dec!$B$1,2,1))="","",VLOOKUP(VALUE(MID(Dec!$B$1,2,1)),MTriple_Jump,8))</f>
        <v>EE</v>
      </c>
      <c r="C332" s="51" t="str">
        <f>IF(B332="","",IF(LEN(B332)=2,VLOOKUP(A321,MSB,VLOOKUP(LEFT(B332,1),Teams,6,FALSE),FALSE),VLOOKUP(A321,MSA,VLOOKUP(B332,Teams,6,FALSE),FALSE)))</f>
        <v>John Andrews</v>
      </c>
      <c r="D332" s="52" t="str">
        <f t="shared" si="10"/>
        <v>Epsom &amp; Ewell</v>
      </c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53"/>
      <c r="T332" s="54"/>
      <c r="U332" s="55"/>
      <c r="V332" s="56"/>
    </row>
    <row r="333" spans="1:22" ht="18.75" customHeight="1">
      <c r="A333" s="49">
        <v>8</v>
      </c>
      <c r="B333" s="50" t="str">
        <f>IF(VALUE(MID(Dec!$B$1,2,1))="","",VLOOKUP(VALUE(MID(Dec!$B$1,2,1)),MTriple_Jump,9))</f>
        <v>RR</v>
      </c>
      <c r="C333" s="51" t="str">
        <f>IF(B333="","",IF(LEN(B333)=2,VLOOKUP(A321,MSB,VLOOKUP(LEFT(B333,1),Teams,6,FALSE),FALSE),VLOOKUP(A321,MSA,VLOOKUP(B333,Teams,6,FALSE),FALSE)))</f>
        <v>Liam Winton</v>
      </c>
      <c r="D333" s="52" t="str">
        <f t="shared" si="10"/>
        <v>Team Dorset</v>
      </c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53"/>
      <c r="T333" s="54"/>
      <c r="U333" s="55"/>
      <c r="V333" s="56"/>
    </row>
    <row r="334" spans="1:22" ht="18.75" customHeight="1">
      <c r="A334" s="49">
        <v>9</v>
      </c>
      <c r="B334" s="50"/>
      <c r="C334" s="51"/>
      <c r="D334" s="52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53"/>
      <c r="T334" s="54"/>
      <c r="U334" s="55"/>
      <c r="V334" s="56"/>
    </row>
    <row r="335" spans="1:22" ht="18.75" customHeight="1">
      <c r="A335" s="49">
        <v>10</v>
      </c>
      <c r="B335" s="50"/>
      <c r="C335" s="51"/>
      <c r="D335" s="52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53"/>
      <c r="T335" s="54"/>
      <c r="U335" s="55"/>
      <c r="V335" s="56"/>
    </row>
    <row r="336" spans="1:22" ht="18.75" customHeight="1">
      <c r="A336" s="49">
        <v>11</v>
      </c>
      <c r="B336" s="50"/>
      <c r="C336" s="51"/>
      <c r="D336" s="52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53"/>
      <c r="T336" s="54"/>
      <c r="U336" s="55"/>
      <c r="V336" s="56"/>
    </row>
    <row r="337" spans="1:22" ht="18.75" customHeight="1">
      <c r="A337" s="49">
        <v>12</v>
      </c>
      <c r="B337" s="50"/>
      <c r="C337" s="51"/>
      <c r="D337" s="52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53"/>
      <c r="T337" s="54"/>
      <c r="U337" s="55"/>
      <c r="V337" s="56"/>
    </row>
    <row r="338" spans="1:22" ht="18.75" customHeight="1">
      <c r="A338" s="49">
        <v>13</v>
      </c>
      <c r="B338" s="50"/>
      <c r="C338" s="51"/>
      <c r="D338" s="52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53"/>
      <c r="T338" s="54"/>
      <c r="U338" s="55"/>
      <c r="V338" s="56"/>
    </row>
    <row r="339" spans="1:22" ht="18.75" customHeight="1">
      <c r="A339" s="49">
        <v>14</v>
      </c>
      <c r="B339" s="50"/>
      <c r="C339" s="51"/>
      <c r="D339" s="52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53"/>
      <c r="T339" s="54"/>
      <c r="U339" s="55"/>
      <c r="V339" s="56"/>
    </row>
    <row r="340" spans="1:22" ht="18.75" customHeight="1">
      <c r="A340" s="49">
        <v>15</v>
      </c>
      <c r="B340" s="50"/>
      <c r="C340" s="51"/>
      <c r="D340" s="52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53"/>
      <c r="T340" s="54"/>
      <c r="U340" s="55"/>
      <c r="V340" s="56"/>
    </row>
    <row r="341" spans="1:22" ht="18.75" customHeight="1" thickBot="1">
      <c r="A341" s="57">
        <v>16</v>
      </c>
      <c r="B341" s="58"/>
      <c r="C341" s="51"/>
      <c r="D341" s="52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60"/>
      <c r="T341" s="61"/>
      <c r="U341" s="62"/>
      <c r="V341" s="63"/>
    </row>
    <row r="342" ht="4.5" customHeight="1" thickBot="1"/>
    <row r="343" spans="1:22" ht="12">
      <c r="A343" s="192" t="s">
        <v>829</v>
      </c>
      <c r="B343" s="193"/>
      <c r="C343" s="193"/>
      <c r="D343" s="193"/>
      <c r="E343" s="193"/>
      <c r="F343" s="193"/>
      <c r="G343" s="194"/>
      <c r="H343" s="64" t="s">
        <v>830</v>
      </c>
      <c r="I343" s="195" t="s">
        <v>829</v>
      </c>
      <c r="J343" s="193"/>
      <c r="K343" s="193"/>
      <c r="L343" s="193"/>
      <c r="M343" s="193"/>
      <c r="N343" s="193"/>
      <c r="O343" s="193"/>
      <c r="P343" s="193"/>
      <c r="Q343" s="193"/>
      <c r="R343" s="193"/>
      <c r="S343" s="196"/>
      <c r="T343" s="197" t="s">
        <v>831</v>
      </c>
      <c r="U343" s="198"/>
      <c r="V343" s="199"/>
    </row>
    <row r="344" spans="1:22" ht="12">
      <c r="A344" s="54" t="s">
        <v>832</v>
      </c>
      <c r="B344" s="65" t="s">
        <v>833</v>
      </c>
      <c r="C344" s="48" t="s">
        <v>970</v>
      </c>
      <c r="D344" s="48" t="s">
        <v>971</v>
      </c>
      <c r="E344" s="200" t="s">
        <v>828</v>
      </c>
      <c r="F344" s="200"/>
      <c r="G344" s="65" t="s">
        <v>834</v>
      </c>
      <c r="H344" s="200" t="s">
        <v>832</v>
      </c>
      <c r="I344" s="200"/>
      <c r="J344" s="65" t="s">
        <v>833</v>
      </c>
      <c r="K344" s="183" t="s">
        <v>970</v>
      </c>
      <c r="L344" s="183"/>
      <c r="M344" s="183"/>
      <c r="N344" s="183" t="s">
        <v>971</v>
      </c>
      <c r="O344" s="183"/>
      <c r="P344" s="183"/>
      <c r="Q344" s="201" t="s">
        <v>828</v>
      </c>
      <c r="R344" s="202"/>
      <c r="S344" s="66" t="s">
        <v>834</v>
      </c>
      <c r="T344" s="177"/>
      <c r="U344" s="178"/>
      <c r="V344" s="179"/>
    </row>
    <row r="345" spans="1:22" ht="18.75" customHeight="1">
      <c r="A345" s="67" t="s">
        <v>835</v>
      </c>
      <c r="B345" s="46"/>
      <c r="C345" s="46"/>
      <c r="D345" s="46"/>
      <c r="E345" s="46"/>
      <c r="F345" s="46"/>
      <c r="G345" s="46"/>
      <c r="H345" s="183" t="s">
        <v>836</v>
      </c>
      <c r="I345" s="183"/>
      <c r="J345" s="46"/>
      <c r="K345" s="184"/>
      <c r="L345" s="185"/>
      <c r="M345" s="186"/>
      <c r="N345" s="184"/>
      <c r="O345" s="185"/>
      <c r="P345" s="186"/>
      <c r="Q345" s="46"/>
      <c r="R345" s="46"/>
      <c r="S345" s="53"/>
      <c r="T345" s="177"/>
      <c r="U345" s="178"/>
      <c r="V345" s="179"/>
    </row>
    <row r="346" spans="1:22" ht="18.75" customHeight="1">
      <c r="A346" s="67" t="s">
        <v>837</v>
      </c>
      <c r="B346" s="46"/>
      <c r="C346" s="46"/>
      <c r="D346" s="46"/>
      <c r="E346" s="46"/>
      <c r="F346" s="46"/>
      <c r="G346" s="46"/>
      <c r="H346" s="183" t="s">
        <v>838</v>
      </c>
      <c r="I346" s="183"/>
      <c r="J346" s="46"/>
      <c r="K346" s="184"/>
      <c r="L346" s="185"/>
      <c r="M346" s="186"/>
      <c r="N346" s="184"/>
      <c r="O346" s="185"/>
      <c r="P346" s="186"/>
      <c r="Q346" s="46"/>
      <c r="R346" s="46"/>
      <c r="S346" s="53"/>
      <c r="T346" s="177"/>
      <c r="U346" s="178"/>
      <c r="V346" s="179"/>
    </row>
    <row r="347" spans="1:22" ht="18.75" customHeight="1">
      <c r="A347" s="67" t="s">
        <v>839</v>
      </c>
      <c r="B347" s="46"/>
      <c r="C347" s="46"/>
      <c r="D347" s="46"/>
      <c r="E347" s="46"/>
      <c r="F347" s="46"/>
      <c r="G347" s="46"/>
      <c r="H347" s="183" t="s">
        <v>840</v>
      </c>
      <c r="I347" s="183"/>
      <c r="J347" s="46"/>
      <c r="K347" s="184"/>
      <c r="L347" s="185"/>
      <c r="M347" s="186"/>
      <c r="N347" s="184"/>
      <c r="O347" s="185"/>
      <c r="P347" s="186"/>
      <c r="Q347" s="46"/>
      <c r="R347" s="46"/>
      <c r="S347" s="53"/>
      <c r="T347" s="177"/>
      <c r="U347" s="178"/>
      <c r="V347" s="179"/>
    </row>
    <row r="348" spans="1:22" ht="18.75" customHeight="1">
      <c r="A348" s="67" t="s">
        <v>841</v>
      </c>
      <c r="B348" s="46"/>
      <c r="C348" s="46"/>
      <c r="D348" s="46"/>
      <c r="E348" s="46"/>
      <c r="F348" s="46"/>
      <c r="G348" s="46"/>
      <c r="H348" s="183" t="s">
        <v>842</v>
      </c>
      <c r="I348" s="183"/>
      <c r="J348" s="46"/>
      <c r="K348" s="184"/>
      <c r="L348" s="185"/>
      <c r="M348" s="186"/>
      <c r="N348" s="184"/>
      <c r="O348" s="185"/>
      <c r="P348" s="186"/>
      <c r="Q348" s="46"/>
      <c r="R348" s="46"/>
      <c r="S348" s="53"/>
      <c r="T348" s="177"/>
      <c r="U348" s="178"/>
      <c r="V348" s="179"/>
    </row>
    <row r="349" spans="1:22" ht="18.75" customHeight="1">
      <c r="A349" s="67" t="s">
        <v>843</v>
      </c>
      <c r="B349" s="46"/>
      <c r="C349" s="46"/>
      <c r="D349" s="46"/>
      <c r="E349" s="46"/>
      <c r="F349" s="46"/>
      <c r="G349" s="46"/>
      <c r="H349" s="183" t="s">
        <v>844</v>
      </c>
      <c r="I349" s="183"/>
      <c r="J349" s="46"/>
      <c r="K349" s="184"/>
      <c r="L349" s="185"/>
      <c r="M349" s="186"/>
      <c r="N349" s="184"/>
      <c r="O349" s="185"/>
      <c r="P349" s="186"/>
      <c r="Q349" s="46"/>
      <c r="R349" s="46"/>
      <c r="S349" s="53"/>
      <c r="T349" s="177"/>
      <c r="U349" s="178"/>
      <c r="V349" s="179"/>
    </row>
    <row r="350" spans="1:22" ht="18.75" customHeight="1">
      <c r="A350" s="67" t="s">
        <v>845</v>
      </c>
      <c r="B350" s="46"/>
      <c r="C350" s="46"/>
      <c r="D350" s="46"/>
      <c r="E350" s="46"/>
      <c r="F350" s="46"/>
      <c r="G350" s="46"/>
      <c r="H350" s="183" t="s">
        <v>846</v>
      </c>
      <c r="I350" s="183"/>
      <c r="J350" s="46"/>
      <c r="K350" s="184"/>
      <c r="L350" s="185"/>
      <c r="M350" s="186"/>
      <c r="N350" s="184"/>
      <c r="O350" s="185"/>
      <c r="P350" s="186"/>
      <c r="Q350" s="46"/>
      <c r="R350" s="46"/>
      <c r="S350" s="53"/>
      <c r="T350" s="177" t="s">
        <v>847</v>
      </c>
      <c r="U350" s="178"/>
      <c r="V350" s="179"/>
    </row>
    <row r="351" spans="1:22" ht="18.75" customHeight="1">
      <c r="A351" s="67" t="s">
        <v>848</v>
      </c>
      <c r="B351" s="46"/>
      <c r="C351" s="46"/>
      <c r="D351" s="46"/>
      <c r="E351" s="46"/>
      <c r="F351" s="46"/>
      <c r="G351" s="46"/>
      <c r="H351" s="183" t="s">
        <v>849</v>
      </c>
      <c r="I351" s="183"/>
      <c r="J351" s="46"/>
      <c r="K351" s="184"/>
      <c r="L351" s="185"/>
      <c r="M351" s="186"/>
      <c r="N351" s="184"/>
      <c r="O351" s="185"/>
      <c r="P351" s="186"/>
      <c r="Q351" s="46"/>
      <c r="R351" s="46"/>
      <c r="S351" s="53"/>
      <c r="T351" s="177"/>
      <c r="U351" s="178"/>
      <c r="V351" s="179"/>
    </row>
    <row r="352" spans="1:22" ht="18.75" customHeight="1" thickBot="1">
      <c r="A352" s="68" t="s">
        <v>850</v>
      </c>
      <c r="B352" s="59"/>
      <c r="C352" s="59"/>
      <c r="D352" s="59"/>
      <c r="E352" s="59"/>
      <c r="F352" s="59"/>
      <c r="G352" s="59"/>
      <c r="H352" s="187" t="s">
        <v>851</v>
      </c>
      <c r="I352" s="187"/>
      <c r="J352" s="59"/>
      <c r="K352" s="188"/>
      <c r="L352" s="189"/>
      <c r="M352" s="190"/>
      <c r="N352" s="188"/>
      <c r="O352" s="189"/>
      <c r="P352" s="190"/>
      <c r="Q352" s="59"/>
      <c r="R352" s="59"/>
      <c r="S352" s="60"/>
      <c r="T352" s="180"/>
      <c r="U352" s="181"/>
      <c r="V352" s="182"/>
    </row>
    <row r="353" ht="12">
      <c r="A353" t="s">
        <v>989</v>
      </c>
    </row>
    <row r="354" spans="1:22" ht="12">
      <c r="A354" s="176" t="s">
        <v>812</v>
      </c>
      <c r="B354" s="176"/>
      <c r="C354" s="176"/>
      <c r="D354" s="223" t="str">
        <f>"Date: "&amp;TEXT(Dec!D$3,"dd mmmm yyyy")</f>
        <v>Date: 21 June 2014</v>
      </c>
      <c r="E354" s="223"/>
      <c r="F354" s="223" t="s">
        <v>813</v>
      </c>
      <c r="G354" s="223"/>
      <c r="H354" s="223"/>
      <c r="I354" s="223"/>
      <c r="J354" s="223" t="str">
        <f>"Venue: "&amp;Dec!$B$3</f>
        <v>Venue: Kingston</v>
      </c>
      <c r="K354" s="223"/>
      <c r="L354" s="223"/>
      <c r="M354" s="223"/>
      <c r="N354" s="223"/>
      <c r="O354" s="223" t="s">
        <v>856</v>
      </c>
      <c r="P354" s="223"/>
      <c r="Q354" s="223"/>
      <c r="R354" s="223"/>
      <c r="S354" s="223"/>
      <c r="T354" s="223"/>
      <c r="U354" s="223"/>
      <c r="V354" s="223"/>
    </row>
    <row r="355" spans="1:22" ht="12.75" thickBot="1">
      <c r="A355" s="223" t="str">
        <f>"Event: Men's Discus - "&amp;Dec!B6</f>
        <v>Event: Men's Discus - Crawley</v>
      </c>
      <c r="B355" s="223"/>
      <c r="C355" s="223"/>
      <c r="D355" s="223"/>
      <c r="E355" s="223"/>
      <c r="F355" s="223" t="s">
        <v>495</v>
      </c>
      <c r="G355" s="223"/>
      <c r="H355" s="223"/>
      <c r="I355" s="223"/>
      <c r="J355" s="223" t="s">
        <v>814</v>
      </c>
      <c r="K355" s="223"/>
      <c r="L355" s="223"/>
      <c r="M355" s="223"/>
      <c r="N355" s="223"/>
      <c r="O355" s="223" t="s">
        <v>815</v>
      </c>
      <c r="P355" s="223"/>
      <c r="Q355" s="223"/>
      <c r="R355" s="223"/>
      <c r="S355" s="223"/>
      <c r="T355" s="223"/>
      <c r="U355" s="223"/>
      <c r="V355" s="223"/>
    </row>
    <row r="356" spans="1:22" ht="33.75" customHeight="1">
      <c r="A356" s="215" t="s">
        <v>816</v>
      </c>
      <c r="B356" s="217" t="s">
        <v>817</v>
      </c>
      <c r="C356" s="219" t="s">
        <v>862</v>
      </c>
      <c r="D356" s="220"/>
      <c r="E356" s="191" t="s">
        <v>818</v>
      </c>
      <c r="F356" s="191"/>
      <c r="G356" s="191" t="s">
        <v>819</v>
      </c>
      <c r="H356" s="191"/>
      <c r="I356" s="191" t="s">
        <v>820</v>
      </c>
      <c r="J356" s="191"/>
      <c r="K356" s="208" t="s">
        <v>821</v>
      </c>
      <c r="L356" s="208"/>
      <c r="M356" s="203" t="s">
        <v>822</v>
      </c>
      <c r="N356" s="208" t="s">
        <v>823</v>
      </c>
      <c r="O356" s="208"/>
      <c r="P356" s="208" t="s">
        <v>824</v>
      </c>
      <c r="Q356" s="208"/>
      <c r="R356" s="208" t="s">
        <v>825</v>
      </c>
      <c r="S356" s="211"/>
      <c r="T356" s="213" t="s">
        <v>826</v>
      </c>
      <c r="U356" s="214"/>
      <c r="V356" s="205" t="s">
        <v>827</v>
      </c>
    </row>
    <row r="357" spans="1:22" ht="24" customHeight="1">
      <c r="A357" s="216"/>
      <c r="B357" s="218"/>
      <c r="C357" s="221"/>
      <c r="D357" s="222"/>
      <c r="E357" s="207" t="s">
        <v>828</v>
      </c>
      <c r="F357" s="207"/>
      <c r="G357" s="207" t="s">
        <v>828</v>
      </c>
      <c r="H357" s="207"/>
      <c r="I357" s="207" t="s">
        <v>828</v>
      </c>
      <c r="J357" s="207"/>
      <c r="K357" s="207" t="s">
        <v>828</v>
      </c>
      <c r="L357" s="207"/>
      <c r="M357" s="204"/>
      <c r="N357" s="207" t="s">
        <v>828</v>
      </c>
      <c r="O357" s="207"/>
      <c r="P357" s="207" t="s">
        <v>828</v>
      </c>
      <c r="Q357" s="207"/>
      <c r="R357" s="207" t="s">
        <v>828</v>
      </c>
      <c r="S357" s="212"/>
      <c r="T357" s="209" t="s">
        <v>828</v>
      </c>
      <c r="U357" s="210"/>
      <c r="V357" s="206"/>
    </row>
    <row r="358" spans="1:22" ht="16.5">
      <c r="A358" s="49">
        <v>1</v>
      </c>
      <c r="B358" s="50" t="str">
        <f>IF(VALUE(MID(Dec!$B$1,2,1))="","",VLOOKUP(VALUE(MID(Dec!$B$1,2,1)),MDiscus,2))</f>
        <v>E</v>
      </c>
      <c r="C358" s="51" t="str">
        <f>IF(B358="","",IF(LEN(B358)=2,VLOOKUP(A353,MSB,VLOOKUP(LEFT(B358,1),Teams,6,FALSE),FALSE),VLOOKUP(A353,MSA,VLOOKUP(B358,Teams,6,FALSE),FALSE)))</f>
        <v>Ian Frankish</v>
      </c>
      <c r="D358" s="52" t="str">
        <f aca="true" t="shared" si="11" ref="D358:D365">IF(B358="","",VLOOKUP(LEFT(B358,1),Teams,2,FALSE))</f>
        <v>Epsom &amp; Ewell</v>
      </c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53"/>
      <c r="T358" s="54"/>
      <c r="U358" s="55"/>
      <c r="V358" s="56"/>
    </row>
    <row r="359" spans="1:22" ht="16.5">
      <c r="A359" s="49">
        <v>2</v>
      </c>
      <c r="B359" s="50" t="str">
        <f>IF(VALUE(MID(Dec!$B$1,2,1))="","",VLOOKUP(VALUE(MID(Dec!$B$1,2,1)),MDiscus,3))</f>
        <v>R</v>
      </c>
      <c r="C359" s="51" t="str">
        <f>IF(B359="","",IF(LEN(B359)=2,VLOOKUP(A353,MSB,VLOOKUP(LEFT(B359,1),Teams,6,FALSE),FALSE),VLOOKUP(A353,MSA,VLOOKUP(B359,Teams,6,FALSE),FALSE)))</f>
        <v>Jack Snook</v>
      </c>
      <c r="D359" s="52" t="str">
        <f t="shared" si="11"/>
        <v>Team Dorset</v>
      </c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53"/>
      <c r="T359" s="54"/>
      <c r="U359" s="55"/>
      <c r="V359" s="56"/>
    </row>
    <row r="360" spans="1:22" ht="16.5">
      <c r="A360" s="49">
        <v>3</v>
      </c>
      <c r="B360" s="50" t="str">
        <f>IF(VALUE(MID(Dec!$B$1,2,1))="","",VLOOKUP(VALUE(MID(Dec!$B$1,2,1)),MDiscus,4))</f>
        <v>Y</v>
      </c>
      <c r="C360" s="51" t="str">
        <f>IF(B360="","",IF(LEN(B360)=2,VLOOKUP(A353,MSB,VLOOKUP(LEFT(B360,1),Teams,6,FALSE),FALSE),VLOOKUP(A353,MSA,VLOOKUP(B360,Teams,6,FALSE),FALSE)))</f>
        <v>Richard Reeks</v>
      </c>
      <c r="D360" s="52" t="str">
        <f t="shared" si="11"/>
        <v>Crawley</v>
      </c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53"/>
      <c r="T360" s="54"/>
      <c r="U360" s="55"/>
      <c r="V360" s="56"/>
    </row>
    <row r="361" spans="1:22" ht="16.5">
      <c r="A361" s="49">
        <v>4</v>
      </c>
      <c r="B361" s="50" t="str">
        <f>IF(VALUE(MID(Dec!$B$1,2,1))="","",VLOOKUP(VALUE(MID(Dec!$B$1,2,1)),MDiscus,5))</f>
        <v>T</v>
      </c>
      <c r="C361" s="51" t="str">
        <f>IF(B361="","",IF(LEN(B361)=2,VLOOKUP(A353,MSB,VLOOKUP(LEFT(B361,1),Teams,6,FALSE),FALSE),VLOOKUP(A353,MSA,VLOOKUP(B361,Teams,6,FALSE),FALSE)))</f>
        <v>Martyn Ormerod</v>
      </c>
      <c r="D361" s="52" t="str">
        <f t="shared" si="11"/>
        <v>Tonbridge</v>
      </c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53"/>
      <c r="T361" s="54"/>
      <c r="U361" s="55"/>
      <c r="V361" s="56"/>
    </row>
    <row r="362" spans="1:22" ht="16.5">
      <c r="A362" s="49">
        <v>5</v>
      </c>
      <c r="B362" s="50" t="str">
        <f>IF(VALUE(MID(Dec!$B$1,2,1))="","",VLOOKUP(VALUE(MID(Dec!$B$1,2,1)),MDiscus,6))</f>
        <v>EE</v>
      </c>
      <c r="C362" s="51" t="str">
        <f>IF(B362="","",IF(LEN(B362)=2,VLOOKUP(A353,MSB,VLOOKUP(LEFT(B362,1),Teams,6,FALSE),FALSE),VLOOKUP(A353,MSA,VLOOKUP(B362,Teams,6,FALSE),FALSE)))</f>
        <v>Brian Harlick</v>
      </c>
      <c r="D362" s="52" t="str">
        <f t="shared" si="11"/>
        <v>Epsom &amp; Ewell</v>
      </c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53"/>
      <c r="T362" s="54"/>
      <c r="U362" s="55"/>
      <c r="V362" s="56"/>
    </row>
    <row r="363" spans="1:22" ht="16.5">
      <c r="A363" s="49">
        <v>6</v>
      </c>
      <c r="B363" s="50" t="str">
        <f>IF(VALUE(MID(Dec!$B$1,2,1))="","",VLOOKUP(VALUE(MID(Dec!$B$1,2,1)),MDiscus,7))</f>
        <v>RR</v>
      </c>
      <c r="C363" s="51" t="str">
        <f>IF(B363="","",IF(LEN(B363)=2,VLOOKUP(A353,MSB,VLOOKUP(LEFT(B363,1),Teams,6,FALSE),FALSE),VLOOKUP(A353,MSA,VLOOKUP(B363,Teams,6,FALSE),FALSE)))</f>
        <v>Richard Wheeler</v>
      </c>
      <c r="D363" s="52" t="str">
        <f t="shared" si="11"/>
        <v>Team Dorset</v>
      </c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53"/>
      <c r="T363" s="54"/>
      <c r="U363" s="55"/>
      <c r="V363" s="56"/>
    </row>
    <row r="364" spans="1:22" ht="16.5">
      <c r="A364" s="49">
        <v>7</v>
      </c>
      <c r="B364" s="50" t="str">
        <f>IF(VALUE(MID(Dec!$B$1,2,1))="","",VLOOKUP(VALUE(MID(Dec!$B$1,2,1)),MDiscus,8))</f>
        <v>YY</v>
      </c>
      <c r="C364" s="51" t="str">
        <f>IF(B364="","",IF(LEN(B364)=2,VLOOKUP(A353,MSB,VLOOKUP(LEFT(B364,1),Teams,6,FALSE),FALSE),VLOOKUP(A353,MSA,VLOOKUP(B364,Teams,6,FALSE),FALSE)))</f>
        <v>David Freeman </v>
      </c>
      <c r="D364" s="52" t="str">
        <f t="shared" si="11"/>
        <v>Crawley</v>
      </c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53"/>
      <c r="T364" s="54"/>
      <c r="U364" s="55"/>
      <c r="V364" s="56"/>
    </row>
    <row r="365" spans="1:22" ht="16.5">
      <c r="A365" s="49">
        <v>8</v>
      </c>
      <c r="B365" s="50" t="str">
        <f>IF(VALUE(MID(Dec!$B$1,2,1))="","",VLOOKUP(VALUE(MID(Dec!$B$1,2,1)),MDiscus,9))</f>
        <v>TT</v>
      </c>
      <c r="C365" s="51" t="str">
        <f>IF(B365="","",IF(LEN(B365)=2,VLOOKUP(A353,MSB,VLOOKUP(LEFT(B365,1),Teams,6,FALSE),FALSE),VLOOKUP(A353,MSA,VLOOKUP(B365,Teams,6,FALSE),FALSE)))</f>
        <v>Lewis Church</v>
      </c>
      <c r="D365" s="52" t="str">
        <f t="shared" si="11"/>
        <v>Tonbridge</v>
      </c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53"/>
      <c r="T365" s="54"/>
      <c r="U365" s="55"/>
      <c r="V365" s="56"/>
    </row>
    <row r="366" spans="1:22" ht="16.5">
      <c r="A366" s="49">
        <v>9</v>
      </c>
      <c r="B366" s="50"/>
      <c r="C366" s="51"/>
      <c r="D366" s="52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53"/>
      <c r="T366" s="54"/>
      <c r="U366" s="55"/>
      <c r="V366" s="56"/>
    </row>
    <row r="367" spans="1:22" ht="16.5">
      <c r="A367" s="49">
        <v>10</v>
      </c>
      <c r="B367" s="50"/>
      <c r="C367" s="51"/>
      <c r="D367" s="52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53"/>
      <c r="T367" s="54"/>
      <c r="U367" s="55"/>
      <c r="V367" s="56"/>
    </row>
    <row r="368" spans="1:22" ht="16.5">
      <c r="A368" s="49">
        <v>11</v>
      </c>
      <c r="B368" s="50"/>
      <c r="C368" s="51"/>
      <c r="D368" s="52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53"/>
      <c r="T368" s="54"/>
      <c r="U368" s="55"/>
      <c r="V368" s="56"/>
    </row>
    <row r="369" spans="1:22" ht="16.5">
      <c r="A369" s="49">
        <v>12</v>
      </c>
      <c r="B369" s="50"/>
      <c r="C369" s="51"/>
      <c r="D369" s="52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53"/>
      <c r="T369" s="54"/>
      <c r="U369" s="55"/>
      <c r="V369" s="56"/>
    </row>
    <row r="370" spans="1:22" ht="16.5">
      <c r="A370" s="49">
        <v>13</v>
      </c>
      <c r="B370" s="50"/>
      <c r="C370" s="51"/>
      <c r="D370" s="52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53"/>
      <c r="T370" s="54"/>
      <c r="U370" s="55"/>
      <c r="V370" s="56"/>
    </row>
    <row r="371" spans="1:22" ht="16.5">
      <c r="A371" s="49">
        <v>14</v>
      </c>
      <c r="B371" s="50"/>
      <c r="C371" s="51"/>
      <c r="D371" s="52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53"/>
      <c r="T371" s="54"/>
      <c r="U371" s="55"/>
      <c r="V371" s="56"/>
    </row>
    <row r="372" spans="1:22" ht="16.5">
      <c r="A372" s="49">
        <v>15</v>
      </c>
      <c r="B372" s="50"/>
      <c r="C372" s="51"/>
      <c r="D372" s="52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53"/>
      <c r="T372" s="54"/>
      <c r="U372" s="55"/>
      <c r="V372" s="56"/>
    </row>
    <row r="373" spans="1:22" ht="18" thickBot="1">
      <c r="A373" s="57">
        <v>16</v>
      </c>
      <c r="B373" s="58"/>
      <c r="C373" s="51"/>
      <c r="D373" s="52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60"/>
      <c r="T373" s="61"/>
      <c r="U373" s="62"/>
      <c r="V373" s="63"/>
    </row>
    <row r="374" ht="5.25" customHeight="1" thickBot="1"/>
    <row r="375" spans="1:22" ht="12">
      <c r="A375" s="192" t="s">
        <v>829</v>
      </c>
      <c r="B375" s="193"/>
      <c r="C375" s="193"/>
      <c r="D375" s="193"/>
      <c r="E375" s="193"/>
      <c r="F375" s="193"/>
      <c r="G375" s="194"/>
      <c r="H375" s="64" t="s">
        <v>830</v>
      </c>
      <c r="I375" s="195" t="s">
        <v>829</v>
      </c>
      <c r="J375" s="193"/>
      <c r="K375" s="193"/>
      <c r="L375" s="193"/>
      <c r="M375" s="193"/>
      <c r="N375" s="193"/>
      <c r="O375" s="193"/>
      <c r="P375" s="193"/>
      <c r="Q375" s="193"/>
      <c r="R375" s="193"/>
      <c r="S375" s="196"/>
      <c r="T375" s="197" t="s">
        <v>831</v>
      </c>
      <c r="U375" s="198"/>
      <c r="V375" s="199"/>
    </row>
    <row r="376" spans="1:22" ht="12">
      <c r="A376" s="54" t="s">
        <v>832</v>
      </c>
      <c r="B376" s="65" t="s">
        <v>833</v>
      </c>
      <c r="C376" s="48" t="s">
        <v>970</v>
      </c>
      <c r="D376" s="48" t="s">
        <v>971</v>
      </c>
      <c r="E376" s="200" t="s">
        <v>828</v>
      </c>
      <c r="F376" s="200"/>
      <c r="G376" s="65" t="s">
        <v>834</v>
      </c>
      <c r="H376" s="200" t="s">
        <v>832</v>
      </c>
      <c r="I376" s="200"/>
      <c r="J376" s="65" t="s">
        <v>833</v>
      </c>
      <c r="K376" s="183" t="s">
        <v>970</v>
      </c>
      <c r="L376" s="183"/>
      <c r="M376" s="183"/>
      <c r="N376" s="183" t="s">
        <v>971</v>
      </c>
      <c r="O376" s="183"/>
      <c r="P376" s="183"/>
      <c r="Q376" s="201" t="s">
        <v>828</v>
      </c>
      <c r="R376" s="202"/>
      <c r="S376" s="66" t="s">
        <v>834</v>
      </c>
      <c r="T376" s="177"/>
      <c r="U376" s="178"/>
      <c r="V376" s="179"/>
    </row>
    <row r="377" spans="1:22" ht="18.75" customHeight="1">
      <c r="A377" s="67" t="s">
        <v>835</v>
      </c>
      <c r="B377" s="46"/>
      <c r="C377" s="46"/>
      <c r="D377" s="46"/>
      <c r="E377" s="46"/>
      <c r="F377" s="46"/>
      <c r="G377" s="46"/>
      <c r="H377" s="183" t="s">
        <v>836</v>
      </c>
      <c r="I377" s="183"/>
      <c r="J377" s="46"/>
      <c r="K377" s="184"/>
      <c r="L377" s="185"/>
      <c r="M377" s="186"/>
      <c r="N377" s="184"/>
      <c r="O377" s="185"/>
      <c r="P377" s="186"/>
      <c r="Q377" s="46"/>
      <c r="R377" s="46"/>
      <c r="S377" s="53"/>
      <c r="T377" s="177"/>
      <c r="U377" s="178"/>
      <c r="V377" s="179"/>
    </row>
    <row r="378" spans="1:22" ht="18.75" customHeight="1">
      <c r="A378" s="67" t="s">
        <v>837</v>
      </c>
      <c r="B378" s="46"/>
      <c r="C378" s="46"/>
      <c r="D378" s="46"/>
      <c r="E378" s="46"/>
      <c r="F378" s="46"/>
      <c r="G378" s="46"/>
      <c r="H378" s="183" t="s">
        <v>838</v>
      </c>
      <c r="I378" s="183"/>
      <c r="J378" s="46"/>
      <c r="K378" s="184"/>
      <c r="L378" s="185"/>
      <c r="M378" s="186"/>
      <c r="N378" s="184"/>
      <c r="O378" s="185"/>
      <c r="P378" s="186"/>
      <c r="Q378" s="46"/>
      <c r="R378" s="46"/>
      <c r="S378" s="53"/>
      <c r="T378" s="177"/>
      <c r="U378" s="178"/>
      <c r="V378" s="179"/>
    </row>
    <row r="379" spans="1:22" ht="18.75" customHeight="1">
      <c r="A379" s="67" t="s">
        <v>839</v>
      </c>
      <c r="B379" s="46"/>
      <c r="C379" s="46"/>
      <c r="D379" s="46"/>
      <c r="E379" s="46"/>
      <c r="F379" s="46"/>
      <c r="G379" s="46"/>
      <c r="H379" s="183" t="s">
        <v>840</v>
      </c>
      <c r="I379" s="183"/>
      <c r="J379" s="46"/>
      <c r="K379" s="184"/>
      <c r="L379" s="185"/>
      <c r="M379" s="186"/>
      <c r="N379" s="184"/>
      <c r="O379" s="185"/>
      <c r="P379" s="186"/>
      <c r="Q379" s="46"/>
      <c r="R379" s="46"/>
      <c r="S379" s="53"/>
      <c r="T379" s="177"/>
      <c r="U379" s="178"/>
      <c r="V379" s="179"/>
    </row>
    <row r="380" spans="1:22" ht="18.75" customHeight="1">
      <c r="A380" s="67" t="s">
        <v>841</v>
      </c>
      <c r="B380" s="46"/>
      <c r="C380" s="46"/>
      <c r="D380" s="46"/>
      <c r="E380" s="46"/>
      <c r="F380" s="46"/>
      <c r="G380" s="46"/>
      <c r="H380" s="183" t="s">
        <v>842</v>
      </c>
      <c r="I380" s="183"/>
      <c r="J380" s="46"/>
      <c r="K380" s="184"/>
      <c r="L380" s="185"/>
      <c r="M380" s="186"/>
      <c r="N380" s="184"/>
      <c r="O380" s="185"/>
      <c r="P380" s="186"/>
      <c r="Q380" s="46"/>
      <c r="R380" s="46"/>
      <c r="S380" s="53"/>
      <c r="T380" s="177"/>
      <c r="U380" s="178"/>
      <c r="V380" s="179"/>
    </row>
    <row r="381" spans="1:22" ht="18.75" customHeight="1">
      <c r="A381" s="67" t="s">
        <v>843</v>
      </c>
      <c r="B381" s="46"/>
      <c r="C381" s="46"/>
      <c r="D381" s="46"/>
      <c r="E381" s="46"/>
      <c r="F381" s="46"/>
      <c r="G381" s="46"/>
      <c r="H381" s="183" t="s">
        <v>844</v>
      </c>
      <c r="I381" s="183"/>
      <c r="J381" s="46"/>
      <c r="K381" s="184"/>
      <c r="L381" s="185"/>
      <c r="M381" s="186"/>
      <c r="N381" s="184"/>
      <c r="O381" s="185"/>
      <c r="P381" s="186"/>
      <c r="Q381" s="46"/>
      <c r="R381" s="46"/>
      <c r="S381" s="53"/>
      <c r="T381" s="177"/>
      <c r="U381" s="178"/>
      <c r="V381" s="179"/>
    </row>
    <row r="382" spans="1:22" ht="18.75" customHeight="1">
      <c r="A382" s="67" t="s">
        <v>845</v>
      </c>
      <c r="B382" s="46"/>
      <c r="C382" s="46"/>
      <c r="D382" s="46"/>
      <c r="E382" s="46"/>
      <c r="F382" s="46"/>
      <c r="G382" s="46"/>
      <c r="H382" s="183" t="s">
        <v>846</v>
      </c>
      <c r="I382" s="183"/>
      <c r="J382" s="46"/>
      <c r="K382" s="184"/>
      <c r="L382" s="185"/>
      <c r="M382" s="186"/>
      <c r="N382" s="184"/>
      <c r="O382" s="185"/>
      <c r="P382" s="186"/>
      <c r="Q382" s="46"/>
      <c r="R382" s="46"/>
      <c r="S382" s="53"/>
      <c r="T382" s="177" t="s">
        <v>847</v>
      </c>
      <c r="U382" s="178"/>
      <c r="V382" s="179"/>
    </row>
    <row r="383" spans="1:22" ht="18.75" customHeight="1">
      <c r="A383" s="67" t="s">
        <v>848</v>
      </c>
      <c r="B383" s="46"/>
      <c r="C383" s="46"/>
      <c r="D383" s="46"/>
      <c r="E383" s="46"/>
      <c r="F383" s="46"/>
      <c r="G383" s="46"/>
      <c r="H383" s="183" t="s">
        <v>849</v>
      </c>
      <c r="I383" s="183"/>
      <c r="J383" s="46"/>
      <c r="K383" s="184"/>
      <c r="L383" s="185"/>
      <c r="M383" s="186"/>
      <c r="N383" s="184"/>
      <c r="O383" s="185"/>
      <c r="P383" s="186"/>
      <c r="Q383" s="46"/>
      <c r="R383" s="46"/>
      <c r="S383" s="53"/>
      <c r="T383" s="177"/>
      <c r="U383" s="178"/>
      <c r="V383" s="179"/>
    </row>
    <row r="384" spans="1:22" ht="18.75" customHeight="1" thickBot="1">
      <c r="A384" s="68" t="s">
        <v>850</v>
      </c>
      <c r="B384" s="59"/>
      <c r="C384" s="59"/>
      <c r="D384" s="59"/>
      <c r="E384" s="59"/>
      <c r="F384" s="59"/>
      <c r="G384" s="59"/>
      <c r="H384" s="187" t="s">
        <v>851</v>
      </c>
      <c r="I384" s="187"/>
      <c r="J384" s="59"/>
      <c r="K384" s="188"/>
      <c r="L384" s="189"/>
      <c r="M384" s="190"/>
      <c r="N384" s="188"/>
      <c r="O384" s="189"/>
      <c r="P384" s="190"/>
      <c r="Q384" s="59"/>
      <c r="R384" s="59"/>
      <c r="S384" s="60"/>
      <c r="T384" s="180"/>
      <c r="U384" s="181"/>
      <c r="V384" s="182"/>
    </row>
  </sheetData>
  <sheetProtection sheet="1" selectLockedCells="1" selectUnlockedCells="1"/>
  <mergeCells count="780">
    <mergeCell ref="T382:V384"/>
    <mergeCell ref="H383:I383"/>
    <mergeCell ref="K383:M383"/>
    <mergeCell ref="N383:P383"/>
    <mergeCell ref="H384:I384"/>
    <mergeCell ref="K384:M384"/>
    <mergeCell ref="N384:P384"/>
    <mergeCell ref="H382:I382"/>
    <mergeCell ref="K382:M382"/>
    <mergeCell ref="N382:P382"/>
    <mergeCell ref="T380:V381"/>
    <mergeCell ref="H381:I381"/>
    <mergeCell ref="K381:M381"/>
    <mergeCell ref="T378:V379"/>
    <mergeCell ref="H379:I379"/>
    <mergeCell ref="K379:M379"/>
    <mergeCell ref="N379:P379"/>
    <mergeCell ref="N381:P381"/>
    <mergeCell ref="H378:I378"/>
    <mergeCell ref="K378:M378"/>
    <mergeCell ref="N378:P378"/>
    <mergeCell ref="H380:I380"/>
    <mergeCell ref="K380:M380"/>
    <mergeCell ref="N380:P380"/>
    <mergeCell ref="B356:B357"/>
    <mergeCell ref="C356:D357"/>
    <mergeCell ref="E356:F356"/>
    <mergeCell ref="H377:I377"/>
    <mergeCell ref="K377:M377"/>
    <mergeCell ref="N377:P377"/>
    <mergeCell ref="E376:F376"/>
    <mergeCell ref="H376:I376"/>
    <mergeCell ref="K376:M376"/>
    <mergeCell ref="N376:P376"/>
    <mergeCell ref="Q376:R376"/>
    <mergeCell ref="K357:L357"/>
    <mergeCell ref="N357:O357"/>
    <mergeCell ref="A375:G375"/>
    <mergeCell ref="I375:S375"/>
    <mergeCell ref="A356:A357"/>
    <mergeCell ref="G356:H356"/>
    <mergeCell ref="I356:J356"/>
    <mergeCell ref="K356:L356"/>
    <mergeCell ref="M356:M357"/>
    <mergeCell ref="T375:V377"/>
    <mergeCell ref="V356:V357"/>
    <mergeCell ref="A355:E355"/>
    <mergeCell ref="F355:I355"/>
    <mergeCell ref="K351:M351"/>
    <mergeCell ref="N351:P351"/>
    <mergeCell ref="H352:I352"/>
    <mergeCell ref="K352:M352"/>
    <mergeCell ref="J355:N355"/>
    <mergeCell ref="O355:V355"/>
    <mergeCell ref="A354:C354"/>
    <mergeCell ref="T350:V352"/>
    <mergeCell ref="E357:F357"/>
    <mergeCell ref="G357:H357"/>
    <mergeCell ref="I357:J357"/>
    <mergeCell ref="T357:U357"/>
    <mergeCell ref="N356:O356"/>
    <mergeCell ref="P357:Q357"/>
    <mergeCell ref="R357:S357"/>
    <mergeCell ref="P356:Q356"/>
    <mergeCell ref="R356:S356"/>
    <mergeCell ref="T356:U356"/>
    <mergeCell ref="N347:P347"/>
    <mergeCell ref="N352:P352"/>
    <mergeCell ref="H350:I350"/>
    <mergeCell ref="K350:M350"/>
    <mergeCell ref="N350:P350"/>
    <mergeCell ref="H351:I351"/>
    <mergeCell ref="H345:I345"/>
    <mergeCell ref="A343:G343"/>
    <mergeCell ref="I343:S343"/>
    <mergeCell ref="D354:E354"/>
    <mergeCell ref="F354:I354"/>
    <mergeCell ref="J354:N354"/>
    <mergeCell ref="H348:I348"/>
    <mergeCell ref="K348:M348"/>
    <mergeCell ref="N348:P348"/>
    <mergeCell ref="O354:V354"/>
    <mergeCell ref="T348:V349"/>
    <mergeCell ref="H349:I349"/>
    <mergeCell ref="K349:M349"/>
    <mergeCell ref="N349:P349"/>
    <mergeCell ref="H346:I346"/>
    <mergeCell ref="K346:M346"/>
    <mergeCell ref="N346:P346"/>
    <mergeCell ref="T346:V347"/>
    <mergeCell ref="H347:I347"/>
    <mergeCell ref="K347:M347"/>
    <mergeCell ref="T343:V345"/>
    <mergeCell ref="Q344:R344"/>
    <mergeCell ref="V324:V325"/>
    <mergeCell ref="K345:M345"/>
    <mergeCell ref="N345:P345"/>
    <mergeCell ref="E344:F344"/>
    <mergeCell ref="H344:I344"/>
    <mergeCell ref="K344:M344"/>
    <mergeCell ref="N344:P344"/>
    <mergeCell ref="K325:L325"/>
    <mergeCell ref="G325:H325"/>
    <mergeCell ref="I325:J325"/>
    <mergeCell ref="N325:O325"/>
    <mergeCell ref="A324:A325"/>
    <mergeCell ref="B324:B325"/>
    <mergeCell ref="C324:D325"/>
    <mergeCell ref="E324:F324"/>
    <mergeCell ref="E325:F325"/>
    <mergeCell ref="O323:V323"/>
    <mergeCell ref="A322:C322"/>
    <mergeCell ref="T318:V320"/>
    <mergeCell ref="J323:N323"/>
    <mergeCell ref="G324:H324"/>
    <mergeCell ref="I324:J324"/>
    <mergeCell ref="K324:L324"/>
    <mergeCell ref="M324:M325"/>
    <mergeCell ref="A323:E323"/>
    <mergeCell ref="F323:I323"/>
    <mergeCell ref="T325:U325"/>
    <mergeCell ref="N324:O324"/>
    <mergeCell ref="P325:Q325"/>
    <mergeCell ref="R325:S325"/>
    <mergeCell ref="P324:Q324"/>
    <mergeCell ref="R324:S324"/>
    <mergeCell ref="T324:U324"/>
    <mergeCell ref="N315:P315"/>
    <mergeCell ref="N320:P320"/>
    <mergeCell ref="H318:I318"/>
    <mergeCell ref="K318:M318"/>
    <mergeCell ref="N318:P318"/>
    <mergeCell ref="H319:I319"/>
    <mergeCell ref="K319:M319"/>
    <mergeCell ref="N319:P319"/>
    <mergeCell ref="H320:I320"/>
    <mergeCell ref="K320:M320"/>
    <mergeCell ref="H313:I313"/>
    <mergeCell ref="A311:G311"/>
    <mergeCell ref="I311:S311"/>
    <mergeCell ref="D322:E322"/>
    <mergeCell ref="F322:I322"/>
    <mergeCell ref="J322:N322"/>
    <mergeCell ref="H316:I316"/>
    <mergeCell ref="K316:M316"/>
    <mergeCell ref="N316:P316"/>
    <mergeCell ref="O322:V322"/>
    <mergeCell ref="T316:V317"/>
    <mergeCell ref="H317:I317"/>
    <mergeCell ref="K317:M317"/>
    <mergeCell ref="N317:P317"/>
    <mergeCell ref="H314:I314"/>
    <mergeCell ref="K314:M314"/>
    <mergeCell ref="N314:P314"/>
    <mergeCell ref="T314:V315"/>
    <mergeCell ref="H315:I315"/>
    <mergeCell ref="K315:M315"/>
    <mergeCell ref="T311:V313"/>
    <mergeCell ref="Q312:R312"/>
    <mergeCell ref="V292:V293"/>
    <mergeCell ref="K313:M313"/>
    <mergeCell ref="N313:P313"/>
    <mergeCell ref="E312:F312"/>
    <mergeCell ref="H312:I312"/>
    <mergeCell ref="K312:M312"/>
    <mergeCell ref="N312:P312"/>
    <mergeCell ref="K293:L293"/>
    <mergeCell ref="G293:H293"/>
    <mergeCell ref="I293:J293"/>
    <mergeCell ref="N293:O293"/>
    <mergeCell ref="A292:A293"/>
    <mergeCell ref="B292:B293"/>
    <mergeCell ref="C292:D293"/>
    <mergeCell ref="E292:F292"/>
    <mergeCell ref="E293:F293"/>
    <mergeCell ref="O291:V291"/>
    <mergeCell ref="A290:C290"/>
    <mergeCell ref="T286:V288"/>
    <mergeCell ref="J291:N291"/>
    <mergeCell ref="G292:H292"/>
    <mergeCell ref="I292:J292"/>
    <mergeCell ref="K292:L292"/>
    <mergeCell ref="M292:M293"/>
    <mergeCell ref="A291:E291"/>
    <mergeCell ref="F291:I291"/>
    <mergeCell ref="T293:U293"/>
    <mergeCell ref="N292:O292"/>
    <mergeCell ref="P293:Q293"/>
    <mergeCell ref="R293:S293"/>
    <mergeCell ref="P292:Q292"/>
    <mergeCell ref="R292:S292"/>
    <mergeCell ref="T292:U292"/>
    <mergeCell ref="N283:P283"/>
    <mergeCell ref="N288:P288"/>
    <mergeCell ref="H286:I286"/>
    <mergeCell ref="K286:M286"/>
    <mergeCell ref="N286:P286"/>
    <mergeCell ref="H287:I287"/>
    <mergeCell ref="K287:M287"/>
    <mergeCell ref="N287:P287"/>
    <mergeCell ref="H288:I288"/>
    <mergeCell ref="K288:M288"/>
    <mergeCell ref="H281:I281"/>
    <mergeCell ref="A279:G279"/>
    <mergeCell ref="I279:S279"/>
    <mergeCell ref="D290:E290"/>
    <mergeCell ref="F290:I290"/>
    <mergeCell ref="J290:N290"/>
    <mergeCell ref="H284:I284"/>
    <mergeCell ref="K284:M284"/>
    <mergeCell ref="N284:P284"/>
    <mergeCell ref="O290:V290"/>
    <mergeCell ref="T284:V285"/>
    <mergeCell ref="H285:I285"/>
    <mergeCell ref="K285:M285"/>
    <mergeCell ref="N285:P285"/>
    <mergeCell ref="H282:I282"/>
    <mergeCell ref="K282:M282"/>
    <mergeCell ref="N282:P282"/>
    <mergeCell ref="T282:V283"/>
    <mergeCell ref="H283:I283"/>
    <mergeCell ref="K283:M283"/>
    <mergeCell ref="T279:V281"/>
    <mergeCell ref="Q280:R280"/>
    <mergeCell ref="V260:V261"/>
    <mergeCell ref="K281:M281"/>
    <mergeCell ref="N281:P281"/>
    <mergeCell ref="E280:F280"/>
    <mergeCell ref="H280:I280"/>
    <mergeCell ref="K280:M280"/>
    <mergeCell ref="N280:P280"/>
    <mergeCell ref="K261:L261"/>
    <mergeCell ref="N261:O261"/>
    <mergeCell ref="A260:A261"/>
    <mergeCell ref="B260:B261"/>
    <mergeCell ref="C260:D261"/>
    <mergeCell ref="E260:F260"/>
    <mergeCell ref="E261:F261"/>
    <mergeCell ref="G260:H260"/>
    <mergeCell ref="I260:J260"/>
    <mergeCell ref="K260:L260"/>
    <mergeCell ref="M260:M261"/>
    <mergeCell ref="A259:E259"/>
    <mergeCell ref="F259:I259"/>
    <mergeCell ref="G261:H261"/>
    <mergeCell ref="I261:J261"/>
    <mergeCell ref="N255:P255"/>
    <mergeCell ref="H256:I256"/>
    <mergeCell ref="K256:M256"/>
    <mergeCell ref="O259:V259"/>
    <mergeCell ref="A258:C258"/>
    <mergeCell ref="T254:V256"/>
    <mergeCell ref="J259:N259"/>
    <mergeCell ref="N254:P254"/>
    <mergeCell ref="H255:I255"/>
    <mergeCell ref="T261:U261"/>
    <mergeCell ref="N260:O260"/>
    <mergeCell ref="P261:Q261"/>
    <mergeCell ref="R261:S261"/>
    <mergeCell ref="P260:Q260"/>
    <mergeCell ref="R260:S260"/>
    <mergeCell ref="T260:U260"/>
    <mergeCell ref="K255:M255"/>
    <mergeCell ref="D258:E258"/>
    <mergeCell ref="F258:I258"/>
    <mergeCell ref="J258:N258"/>
    <mergeCell ref="H252:I252"/>
    <mergeCell ref="K252:M252"/>
    <mergeCell ref="N252:P252"/>
    <mergeCell ref="O258:V258"/>
    <mergeCell ref="N256:P256"/>
    <mergeCell ref="H254:I254"/>
    <mergeCell ref="K254:M254"/>
    <mergeCell ref="K250:M250"/>
    <mergeCell ref="N250:P250"/>
    <mergeCell ref="T250:V251"/>
    <mergeCell ref="H249:I249"/>
    <mergeCell ref="A247:G247"/>
    <mergeCell ref="I247:S247"/>
    <mergeCell ref="H251:I251"/>
    <mergeCell ref="K251:M251"/>
    <mergeCell ref="N251:P251"/>
    <mergeCell ref="E248:F248"/>
    <mergeCell ref="H248:I248"/>
    <mergeCell ref="K248:M248"/>
    <mergeCell ref="N248:P248"/>
    <mergeCell ref="K229:L229"/>
    <mergeCell ref="T252:V253"/>
    <mergeCell ref="H253:I253"/>
    <mergeCell ref="K253:M253"/>
    <mergeCell ref="N253:P253"/>
    <mergeCell ref="H250:I250"/>
    <mergeCell ref="K228:L228"/>
    <mergeCell ref="M228:M229"/>
    <mergeCell ref="T247:V249"/>
    <mergeCell ref="Q248:R248"/>
    <mergeCell ref="V228:V229"/>
    <mergeCell ref="K249:M249"/>
    <mergeCell ref="N249:P249"/>
    <mergeCell ref="A228:A229"/>
    <mergeCell ref="B228:B229"/>
    <mergeCell ref="C228:D229"/>
    <mergeCell ref="E228:F228"/>
    <mergeCell ref="E229:F229"/>
    <mergeCell ref="J227:N227"/>
    <mergeCell ref="A227:E227"/>
    <mergeCell ref="F227:I227"/>
    <mergeCell ref="N229:O229"/>
    <mergeCell ref="G228:H228"/>
    <mergeCell ref="N223:P223"/>
    <mergeCell ref="H224:I224"/>
    <mergeCell ref="K224:M224"/>
    <mergeCell ref="O227:V227"/>
    <mergeCell ref="A226:C226"/>
    <mergeCell ref="D226:E226"/>
    <mergeCell ref="F226:I226"/>
    <mergeCell ref="J226:N226"/>
    <mergeCell ref="O226:V226"/>
    <mergeCell ref="T222:V224"/>
    <mergeCell ref="G229:H229"/>
    <mergeCell ref="I229:J229"/>
    <mergeCell ref="T229:U229"/>
    <mergeCell ref="N228:O228"/>
    <mergeCell ref="P229:Q229"/>
    <mergeCell ref="R229:S229"/>
    <mergeCell ref="P228:Q228"/>
    <mergeCell ref="R228:S228"/>
    <mergeCell ref="T228:U228"/>
    <mergeCell ref="I228:J228"/>
    <mergeCell ref="N224:P224"/>
    <mergeCell ref="H222:I222"/>
    <mergeCell ref="T220:V221"/>
    <mergeCell ref="H221:I221"/>
    <mergeCell ref="K221:M221"/>
    <mergeCell ref="K222:M222"/>
    <mergeCell ref="N222:P222"/>
    <mergeCell ref="H223:I223"/>
    <mergeCell ref="K223:M223"/>
    <mergeCell ref="H220:I220"/>
    <mergeCell ref="K220:M220"/>
    <mergeCell ref="N220:P220"/>
    <mergeCell ref="H217:I217"/>
    <mergeCell ref="K217:M217"/>
    <mergeCell ref="N217:P217"/>
    <mergeCell ref="N221:P221"/>
    <mergeCell ref="A215:G215"/>
    <mergeCell ref="I215:S215"/>
    <mergeCell ref="H219:I219"/>
    <mergeCell ref="K219:M219"/>
    <mergeCell ref="N219:P219"/>
    <mergeCell ref="H218:I218"/>
    <mergeCell ref="K218:M218"/>
    <mergeCell ref="N218:P218"/>
    <mergeCell ref="E216:F216"/>
    <mergeCell ref="O195:V195"/>
    <mergeCell ref="T218:V219"/>
    <mergeCell ref="T215:V217"/>
    <mergeCell ref="G197:H197"/>
    <mergeCell ref="H216:I216"/>
    <mergeCell ref="K216:M216"/>
    <mergeCell ref="N216:P216"/>
    <mergeCell ref="T197:U197"/>
    <mergeCell ref="N196:O196"/>
    <mergeCell ref="Q216:R216"/>
    <mergeCell ref="J194:N194"/>
    <mergeCell ref="P196:Q196"/>
    <mergeCell ref="O194:V194"/>
    <mergeCell ref="I197:J197"/>
    <mergeCell ref="K197:L197"/>
    <mergeCell ref="N197:O197"/>
    <mergeCell ref="P197:Q197"/>
    <mergeCell ref="K196:L196"/>
    <mergeCell ref="M196:M197"/>
    <mergeCell ref="V196:V197"/>
    <mergeCell ref="A195:E195"/>
    <mergeCell ref="F195:I195"/>
    <mergeCell ref="J195:N195"/>
    <mergeCell ref="H58:I58"/>
    <mergeCell ref="B36:B37"/>
    <mergeCell ref="C36:D37"/>
    <mergeCell ref="A194:C194"/>
    <mergeCell ref="A87:G87"/>
    <mergeCell ref="A100:A101"/>
    <mergeCell ref="B100:B101"/>
    <mergeCell ref="E197:F197"/>
    <mergeCell ref="R196:S196"/>
    <mergeCell ref="T196:U196"/>
    <mergeCell ref="G196:H196"/>
    <mergeCell ref="I196:J196"/>
    <mergeCell ref="A196:A197"/>
    <mergeCell ref="B196:B197"/>
    <mergeCell ref="C196:D197"/>
    <mergeCell ref="E196:F196"/>
    <mergeCell ref="R197:S197"/>
    <mergeCell ref="E100:F100"/>
    <mergeCell ref="I36:J36"/>
    <mergeCell ref="A55:G55"/>
    <mergeCell ref="I55:S55"/>
    <mergeCell ref="N62:P62"/>
    <mergeCell ref="J66:N66"/>
    <mergeCell ref="A68:A69"/>
    <mergeCell ref="B68:B69"/>
    <mergeCell ref="C68:D69"/>
    <mergeCell ref="G36:H36"/>
    <mergeCell ref="H59:I59"/>
    <mergeCell ref="E5:F5"/>
    <mergeCell ref="A4:A5"/>
    <mergeCell ref="B4:B5"/>
    <mergeCell ref="C4:D5"/>
    <mergeCell ref="E4:F4"/>
    <mergeCell ref="A36:A37"/>
    <mergeCell ref="E36:F36"/>
    <mergeCell ref="G4:H4"/>
    <mergeCell ref="I4:J4"/>
    <mergeCell ref="D194:E194"/>
    <mergeCell ref="F194:I194"/>
    <mergeCell ref="A23:G23"/>
    <mergeCell ref="N5:O5"/>
    <mergeCell ref="G5:H5"/>
    <mergeCell ref="I5:J5"/>
    <mergeCell ref="K5:L5"/>
    <mergeCell ref="M4:M5"/>
    <mergeCell ref="N4:O4"/>
    <mergeCell ref="K4:L4"/>
    <mergeCell ref="O2:V2"/>
    <mergeCell ref="A3:E3"/>
    <mergeCell ref="F3:I3"/>
    <mergeCell ref="J3:N3"/>
    <mergeCell ref="O3:V3"/>
    <mergeCell ref="A2:C2"/>
    <mergeCell ref="D2:E2"/>
    <mergeCell ref="F2:I2"/>
    <mergeCell ref="J2:N2"/>
    <mergeCell ref="P4:Q4"/>
    <mergeCell ref="R4:S4"/>
    <mergeCell ref="T4:U4"/>
    <mergeCell ref="V4:V5"/>
    <mergeCell ref="R5:S5"/>
    <mergeCell ref="T5:U5"/>
    <mergeCell ref="P5:Q5"/>
    <mergeCell ref="I23:S23"/>
    <mergeCell ref="T23:V25"/>
    <mergeCell ref="E24:F24"/>
    <mergeCell ref="H24:I24"/>
    <mergeCell ref="K24:M24"/>
    <mergeCell ref="N24:P24"/>
    <mergeCell ref="Q24:R24"/>
    <mergeCell ref="H25:I25"/>
    <mergeCell ref="K25:M25"/>
    <mergeCell ref="N25:P25"/>
    <mergeCell ref="A34:C34"/>
    <mergeCell ref="D34:E34"/>
    <mergeCell ref="N29:P29"/>
    <mergeCell ref="T26:V27"/>
    <mergeCell ref="H27:I27"/>
    <mergeCell ref="K27:M27"/>
    <mergeCell ref="N27:P27"/>
    <mergeCell ref="H26:I26"/>
    <mergeCell ref="K26:M26"/>
    <mergeCell ref="N26:P26"/>
    <mergeCell ref="T28:V29"/>
    <mergeCell ref="H29:I29"/>
    <mergeCell ref="K29:M29"/>
    <mergeCell ref="N28:P28"/>
    <mergeCell ref="J35:N35"/>
    <mergeCell ref="O35:V35"/>
    <mergeCell ref="H28:I28"/>
    <mergeCell ref="K28:M28"/>
    <mergeCell ref="T30:V32"/>
    <mergeCell ref="H31:I31"/>
    <mergeCell ref="K31:M31"/>
    <mergeCell ref="N31:P31"/>
    <mergeCell ref="H32:I32"/>
    <mergeCell ref="K32:M32"/>
    <mergeCell ref="N32:P32"/>
    <mergeCell ref="H30:I30"/>
    <mergeCell ref="K30:M30"/>
    <mergeCell ref="N30:P30"/>
    <mergeCell ref="K36:L36"/>
    <mergeCell ref="O34:V34"/>
    <mergeCell ref="A35:E35"/>
    <mergeCell ref="M36:M37"/>
    <mergeCell ref="F34:I34"/>
    <mergeCell ref="J34:N34"/>
    <mergeCell ref="F35:I35"/>
    <mergeCell ref="N36:O36"/>
    <mergeCell ref="P36:Q36"/>
    <mergeCell ref="R36:S36"/>
    <mergeCell ref="T36:U36"/>
    <mergeCell ref="V36:V37"/>
    <mergeCell ref="E37:F37"/>
    <mergeCell ref="G37:H37"/>
    <mergeCell ref="I37:J37"/>
    <mergeCell ref="K37:L37"/>
    <mergeCell ref="N37:O37"/>
    <mergeCell ref="P37:Q37"/>
    <mergeCell ref="R37:S37"/>
    <mergeCell ref="T37:U37"/>
    <mergeCell ref="T55:V57"/>
    <mergeCell ref="E56:F56"/>
    <mergeCell ref="H56:I56"/>
    <mergeCell ref="K56:M56"/>
    <mergeCell ref="N56:P56"/>
    <mergeCell ref="Q56:R56"/>
    <mergeCell ref="H57:I57"/>
    <mergeCell ref="K57:M57"/>
    <mergeCell ref="N57:P57"/>
    <mergeCell ref="H61:I61"/>
    <mergeCell ref="K61:M61"/>
    <mergeCell ref="N61:P61"/>
    <mergeCell ref="H60:I60"/>
    <mergeCell ref="K60:M60"/>
    <mergeCell ref="N60:P60"/>
    <mergeCell ref="T58:V59"/>
    <mergeCell ref="K59:M59"/>
    <mergeCell ref="N59:P59"/>
    <mergeCell ref="K58:M58"/>
    <mergeCell ref="N58:P58"/>
    <mergeCell ref="T60:V61"/>
    <mergeCell ref="T62:V64"/>
    <mergeCell ref="H63:I63"/>
    <mergeCell ref="K63:M63"/>
    <mergeCell ref="N63:P63"/>
    <mergeCell ref="H64:I64"/>
    <mergeCell ref="K64:M64"/>
    <mergeCell ref="N64:P64"/>
    <mergeCell ref="H62:I62"/>
    <mergeCell ref="K62:M62"/>
    <mergeCell ref="E69:F69"/>
    <mergeCell ref="G69:H69"/>
    <mergeCell ref="O66:V66"/>
    <mergeCell ref="A67:E67"/>
    <mergeCell ref="F67:I67"/>
    <mergeCell ref="J67:N67"/>
    <mergeCell ref="O67:V67"/>
    <mergeCell ref="A66:C66"/>
    <mergeCell ref="D66:E66"/>
    <mergeCell ref="F66:I66"/>
    <mergeCell ref="V68:V69"/>
    <mergeCell ref="P69:Q69"/>
    <mergeCell ref="R69:S69"/>
    <mergeCell ref="T69:U69"/>
    <mergeCell ref="I69:J69"/>
    <mergeCell ref="K69:L69"/>
    <mergeCell ref="N69:O69"/>
    <mergeCell ref="I68:J68"/>
    <mergeCell ref="K68:L68"/>
    <mergeCell ref="M68:M69"/>
    <mergeCell ref="E68:F68"/>
    <mergeCell ref="G68:H68"/>
    <mergeCell ref="P68:Q68"/>
    <mergeCell ref="R68:S68"/>
    <mergeCell ref="N68:O68"/>
    <mergeCell ref="T68:U68"/>
    <mergeCell ref="I87:S87"/>
    <mergeCell ref="T87:V89"/>
    <mergeCell ref="E88:F88"/>
    <mergeCell ref="H88:I88"/>
    <mergeCell ref="K88:M88"/>
    <mergeCell ref="N88:P88"/>
    <mergeCell ref="Q88:R88"/>
    <mergeCell ref="H89:I89"/>
    <mergeCell ref="K89:M89"/>
    <mergeCell ref="N89:P89"/>
    <mergeCell ref="T90:V91"/>
    <mergeCell ref="H91:I91"/>
    <mergeCell ref="K91:M91"/>
    <mergeCell ref="N91:P91"/>
    <mergeCell ref="H90:I90"/>
    <mergeCell ref="K90:M90"/>
    <mergeCell ref="N90:P90"/>
    <mergeCell ref="H92:I92"/>
    <mergeCell ref="K92:M92"/>
    <mergeCell ref="N92:P92"/>
    <mergeCell ref="T92:V93"/>
    <mergeCell ref="H93:I93"/>
    <mergeCell ref="K93:M93"/>
    <mergeCell ref="N93:P93"/>
    <mergeCell ref="T94:V96"/>
    <mergeCell ref="H95:I95"/>
    <mergeCell ref="K95:M95"/>
    <mergeCell ref="N95:P95"/>
    <mergeCell ref="H96:I96"/>
    <mergeCell ref="K96:M96"/>
    <mergeCell ref="N96:P96"/>
    <mergeCell ref="D98:E98"/>
    <mergeCell ref="F98:I98"/>
    <mergeCell ref="J98:N98"/>
    <mergeCell ref="H94:I94"/>
    <mergeCell ref="K94:M94"/>
    <mergeCell ref="N94:P94"/>
    <mergeCell ref="G100:H100"/>
    <mergeCell ref="E101:F101"/>
    <mergeCell ref="G101:H101"/>
    <mergeCell ref="C100:D101"/>
    <mergeCell ref="O98:V98"/>
    <mergeCell ref="A99:E99"/>
    <mergeCell ref="F99:I99"/>
    <mergeCell ref="J99:N99"/>
    <mergeCell ref="O99:V99"/>
    <mergeCell ref="A98:C98"/>
    <mergeCell ref="I100:J100"/>
    <mergeCell ref="K100:L100"/>
    <mergeCell ref="M100:M101"/>
    <mergeCell ref="N100:O100"/>
    <mergeCell ref="I101:J101"/>
    <mergeCell ref="K101:L101"/>
    <mergeCell ref="N101:O101"/>
    <mergeCell ref="P100:Q100"/>
    <mergeCell ref="R100:S100"/>
    <mergeCell ref="T100:U100"/>
    <mergeCell ref="V100:V101"/>
    <mergeCell ref="P101:Q101"/>
    <mergeCell ref="R101:S101"/>
    <mergeCell ref="T101:U101"/>
    <mergeCell ref="A119:G119"/>
    <mergeCell ref="I119:S119"/>
    <mergeCell ref="T119:V121"/>
    <mergeCell ref="E120:F120"/>
    <mergeCell ref="H120:I120"/>
    <mergeCell ref="K120:M120"/>
    <mergeCell ref="N120:P120"/>
    <mergeCell ref="Q120:R120"/>
    <mergeCell ref="H121:I121"/>
    <mergeCell ref="K121:M121"/>
    <mergeCell ref="N121:P121"/>
    <mergeCell ref="H122:I122"/>
    <mergeCell ref="K122:M122"/>
    <mergeCell ref="N122:P122"/>
    <mergeCell ref="T122:V123"/>
    <mergeCell ref="H123:I123"/>
    <mergeCell ref="K123:M123"/>
    <mergeCell ref="N123:P123"/>
    <mergeCell ref="H124:I124"/>
    <mergeCell ref="K124:M124"/>
    <mergeCell ref="N124:P124"/>
    <mergeCell ref="T124:V125"/>
    <mergeCell ref="H125:I125"/>
    <mergeCell ref="K125:M125"/>
    <mergeCell ref="N125:P125"/>
    <mergeCell ref="H126:I126"/>
    <mergeCell ref="K126:M126"/>
    <mergeCell ref="N126:P126"/>
    <mergeCell ref="T126:V128"/>
    <mergeCell ref="H127:I127"/>
    <mergeCell ref="K127:M127"/>
    <mergeCell ref="N127:P127"/>
    <mergeCell ref="H128:I128"/>
    <mergeCell ref="K128:M128"/>
    <mergeCell ref="N128:P128"/>
    <mergeCell ref="O130:V130"/>
    <mergeCell ref="A131:E131"/>
    <mergeCell ref="F131:I131"/>
    <mergeCell ref="J131:N131"/>
    <mergeCell ref="O131:V131"/>
    <mergeCell ref="A130:C130"/>
    <mergeCell ref="D130:E130"/>
    <mergeCell ref="F130:I130"/>
    <mergeCell ref="J130:N130"/>
    <mergeCell ref="P133:Q133"/>
    <mergeCell ref="R133:S133"/>
    <mergeCell ref="T132:U132"/>
    <mergeCell ref="A132:A133"/>
    <mergeCell ref="B132:B133"/>
    <mergeCell ref="C132:D133"/>
    <mergeCell ref="E132:F132"/>
    <mergeCell ref="E133:F133"/>
    <mergeCell ref="G132:H132"/>
    <mergeCell ref="K132:L132"/>
    <mergeCell ref="M132:M133"/>
    <mergeCell ref="V132:V133"/>
    <mergeCell ref="G133:H133"/>
    <mergeCell ref="I133:J133"/>
    <mergeCell ref="K133:L133"/>
    <mergeCell ref="N133:O133"/>
    <mergeCell ref="P132:Q132"/>
    <mergeCell ref="T133:U133"/>
    <mergeCell ref="R132:S132"/>
    <mergeCell ref="N132:O132"/>
    <mergeCell ref="A151:G151"/>
    <mergeCell ref="I151:S151"/>
    <mergeCell ref="T151:V153"/>
    <mergeCell ref="E152:F152"/>
    <mergeCell ref="H152:I152"/>
    <mergeCell ref="K152:M152"/>
    <mergeCell ref="N152:P152"/>
    <mergeCell ref="Q152:R152"/>
    <mergeCell ref="I132:J132"/>
    <mergeCell ref="N157:P157"/>
    <mergeCell ref="H153:I153"/>
    <mergeCell ref="K153:M153"/>
    <mergeCell ref="N153:P153"/>
    <mergeCell ref="H154:I154"/>
    <mergeCell ref="K154:M154"/>
    <mergeCell ref="N154:P154"/>
    <mergeCell ref="H156:I156"/>
    <mergeCell ref="K156:M156"/>
    <mergeCell ref="T154:V155"/>
    <mergeCell ref="H155:I155"/>
    <mergeCell ref="K155:M155"/>
    <mergeCell ref="N155:P155"/>
    <mergeCell ref="N156:P156"/>
    <mergeCell ref="T156:V157"/>
    <mergeCell ref="H157:I157"/>
    <mergeCell ref="K157:M157"/>
    <mergeCell ref="T158:V160"/>
    <mergeCell ref="H159:I159"/>
    <mergeCell ref="K159:M159"/>
    <mergeCell ref="N159:P159"/>
    <mergeCell ref="H160:I160"/>
    <mergeCell ref="K160:M160"/>
    <mergeCell ref="H158:I158"/>
    <mergeCell ref="K158:M158"/>
    <mergeCell ref="N158:P158"/>
    <mergeCell ref="N160:P160"/>
    <mergeCell ref="O162:V162"/>
    <mergeCell ref="A163:E163"/>
    <mergeCell ref="F163:I163"/>
    <mergeCell ref="J163:N163"/>
    <mergeCell ref="O163:V163"/>
    <mergeCell ref="A162:C162"/>
    <mergeCell ref="D162:E162"/>
    <mergeCell ref="F162:I162"/>
    <mergeCell ref="J162:N162"/>
    <mergeCell ref="P165:Q165"/>
    <mergeCell ref="R165:S165"/>
    <mergeCell ref="T164:U164"/>
    <mergeCell ref="A164:A165"/>
    <mergeCell ref="B164:B165"/>
    <mergeCell ref="C164:D165"/>
    <mergeCell ref="E164:F164"/>
    <mergeCell ref="E165:F165"/>
    <mergeCell ref="G164:H164"/>
    <mergeCell ref="K164:L164"/>
    <mergeCell ref="M164:M165"/>
    <mergeCell ref="V164:V165"/>
    <mergeCell ref="G165:H165"/>
    <mergeCell ref="I165:J165"/>
    <mergeCell ref="K165:L165"/>
    <mergeCell ref="N165:O165"/>
    <mergeCell ref="P164:Q164"/>
    <mergeCell ref="T165:U165"/>
    <mergeCell ref="R164:S164"/>
    <mergeCell ref="N164:O164"/>
    <mergeCell ref="A183:G183"/>
    <mergeCell ref="I183:S183"/>
    <mergeCell ref="T183:V185"/>
    <mergeCell ref="E184:F184"/>
    <mergeCell ref="H184:I184"/>
    <mergeCell ref="K184:M184"/>
    <mergeCell ref="N184:P184"/>
    <mergeCell ref="Q184:R184"/>
    <mergeCell ref="I164:J164"/>
    <mergeCell ref="N189:P189"/>
    <mergeCell ref="H185:I185"/>
    <mergeCell ref="K185:M185"/>
    <mergeCell ref="N185:P185"/>
    <mergeCell ref="H186:I186"/>
    <mergeCell ref="K186:M186"/>
    <mergeCell ref="N186:P186"/>
    <mergeCell ref="H188:I188"/>
    <mergeCell ref="K188:M188"/>
    <mergeCell ref="T186:V187"/>
    <mergeCell ref="H187:I187"/>
    <mergeCell ref="K187:M187"/>
    <mergeCell ref="N187:P187"/>
    <mergeCell ref="N188:P188"/>
    <mergeCell ref="T188:V189"/>
    <mergeCell ref="H189:I189"/>
    <mergeCell ref="K189:M189"/>
    <mergeCell ref="T190:V192"/>
    <mergeCell ref="H191:I191"/>
    <mergeCell ref="K191:M191"/>
    <mergeCell ref="N191:P191"/>
    <mergeCell ref="H192:I192"/>
    <mergeCell ref="K192:M192"/>
    <mergeCell ref="N192:P192"/>
    <mergeCell ref="H190:I190"/>
    <mergeCell ref="K190:M190"/>
    <mergeCell ref="N190:P190"/>
  </mergeCells>
  <printOptions/>
  <pageMargins left="0.29" right="0.17" top="0.17" bottom="0.16" header="0.5" footer="0.16"/>
  <pageSetup horizontalDpi="600" verticalDpi="600" orientation="landscape" paperSize="9" scale="97"/>
  <rowBreaks count="11" manualBreakCount="11">
    <brk id="32" max="255" man="1"/>
    <brk id="64" max="255" man="1"/>
    <brk id="96" max="255" man="1"/>
    <brk id="128" max="255" man="1"/>
    <brk id="160" max="255" man="1"/>
    <brk id="192" max="255" man="1"/>
    <brk id="224" max="255" man="1"/>
    <brk id="256" max="255" man="1"/>
    <brk id="288" max="255" man="1"/>
    <brk id="320" max="255" man="1"/>
    <brk id="3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132"/>
  <sheetViews>
    <sheetView workbookViewId="0" topLeftCell="A68">
      <selection activeCell="C106" sqref="C106"/>
    </sheetView>
  </sheetViews>
  <sheetFormatPr defaultColWidth="8.8515625" defaultRowHeight="12.75"/>
  <cols>
    <col min="1" max="1" width="4.28125" style="0" customWidth="1"/>
    <col min="2" max="2" width="6.00390625" style="0" customWidth="1"/>
    <col min="3" max="3" width="27.140625" style="0" customWidth="1"/>
    <col min="4" max="4" width="18.00390625" style="0" customWidth="1"/>
    <col min="5" max="6" width="3.00390625" style="0" customWidth="1"/>
    <col min="7" max="7" width="2.28125" style="0" customWidth="1"/>
    <col min="8" max="8" width="6.7109375" style="0" customWidth="1"/>
    <col min="9" max="35" width="2.7109375" style="0" customWidth="1"/>
    <col min="36" max="36" width="10.00390625" style="0" customWidth="1"/>
    <col min="37" max="38" width="7.00390625" style="0" customWidth="1"/>
    <col min="39" max="39" width="7.421875" style="0" customWidth="1"/>
  </cols>
  <sheetData>
    <row r="1" ht="12">
      <c r="A1" t="s">
        <v>905</v>
      </c>
    </row>
    <row r="2" spans="1:39" ht="12">
      <c r="A2" s="238" t="s">
        <v>870</v>
      </c>
      <c r="B2" s="238"/>
      <c r="C2" s="238"/>
      <c r="D2" s="237" t="str">
        <f>"Date: "&amp;TEXT(Dec!D$3,"dd mmmm yyyy")</f>
        <v>Date: 21 June 2014</v>
      </c>
      <c r="E2" s="237"/>
      <c r="F2" s="237"/>
      <c r="G2" s="237"/>
      <c r="H2" s="223" t="s">
        <v>813</v>
      </c>
      <c r="I2" s="223"/>
      <c r="J2" s="223"/>
      <c r="K2" s="223"/>
      <c r="L2" s="223"/>
      <c r="M2" s="223"/>
      <c r="N2" s="223"/>
      <c r="O2" s="223"/>
      <c r="P2" s="223" t="str">
        <f>"Venue: "&amp;Dec!$B$3</f>
        <v>Venue: Kingston</v>
      </c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 t="s">
        <v>856</v>
      </c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</row>
    <row r="3" spans="1:39" ht="12.75" thickBot="1">
      <c r="A3" s="237" t="str">
        <f>"Event: Women's Pole Vault - "&amp;Dec!B5</f>
        <v>Event: Women's Pole Vault - Epsom &amp; Ewell</v>
      </c>
      <c r="B3" s="237"/>
      <c r="C3" s="237"/>
      <c r="D3" s="237"/>
      <c r="E3" s="237"/>
      <c r="F3" s="237"/>
      <c r="G3" s="237"/>
      <c r="H3" s="223" t="s">
        <v>861</v>
      </c>
      <c r="I3" s="223"/>
      <c r="J3" s="223"/>
      <c r="K3" s="223"/>
      <c r="L3" s="223"/>
      <c r="M3" s="223"/>
      <c r="N3" s="223"/>
      <c r="O3" s="223"/>
      <c r="P3" s="223" t="s">
        <v>871</v>
      </c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 t="s">
        <v>815</v>
      </c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</row>
    <row r="4" spans="1:39" ht="15" customHeight="1">
      <c r="A4" s="225" t="s">
        <v>816</v>
      </c>
      <c r="B4" s="227" t="s">
        <v>817</v>
      </c>
      <c r="C4" s="219" t="s">
        <v>366</v>
      </c>
      <c r="D4" s="229"/>
      <c r="E4" s="229"/>
      <c r="F4" s="229"/>
      <c r="G4" s="220"/>
      <c r="H4" s="234" t="s">
        <v>872</v>
      </c>
      <c r="I4" s="236" t="s">
        <v>828</v>
      </c>
      <c r="J4" s="236"/>
      <c r="K4" s="236"/>
      <c r="L4" s="236" t="s">
        <v>828</v>
      </c>
      <c r="M4" s="236"/>
      <c r="N4" s="236"/>
      <c r="O4" s="236" t="s">
        <v>828</v>
      </c>
      <c r="P4" s="236"/>
      <c r="Q4" s="236"/>
      <c r="R4" s="236" t="s">
        <v>828</v>
      </c>
      <c r="S4" s="236"/>
      <c r="T4" s="236"/>
      <c r="U4" s="236" t="s">
        <v>828</v>
      </c>
      <c r="V4" s="236"/>
      <c r="W4" s="236"/>
      <c r="X4" s="236" t="s">
        <v>828</v>
      </c>
      <c r="Y4" s="236"/>
      <c r="Z4" s="236"/>
      <c r="AA4" s="236" t="s">
        <v>828</v>
      </c>
      <c r="AB4" s="236"/>
      <c r="AC4" s="236"/>
      <c r="AD4" s="236" t="s">
        <v>828</v>
      </c>
      <c r="AE4" s="236"/>
      <c r="AF4" s="236"/>
      <c r="AG4" s="236" t="s">
        <v>828</v>
      </c>
      <c r="AH4" s="236"/>
      <c r="AI4" s="236"/>
      <c r="AJ4" s="239" t="s">
        <v>873</v>
      </c>
      <c r="AK4" s="241" t="s">
        <v>874</v>
      </c>
      <c r="AL4" s="243" t="s">
        <v>875</v>
      </c>
      <c r="AM4" s="245" t="s">
        <v>827</v>
      </c>
    </row>
    <row r="5" spans="1:39" ht="15" customHeight="1">
      <c r="A5" s="226"/>
      <c r="B5" s="228"/>
      <c r="C5" s="230"/>
      <c r="D5" s="231"/>
      <c r="E5" s="231"/>
      <c r="F5" s="231"/>
      <c r="G5" s="232"/>
      <c r="H5" s="235"/>
      <c r="I5" s="47"/>
      <c r="J5" s="183"/>
      <c r="K5" s="183"/>
      <c r="L5" s="47"/>
      <c r="M5" s="183"/>
      <c r="N5" s="183"/>
      <c r="O5" s="47"/>
      <c r="P5" s="183"/>
      <c r="Q5" s="183"/>
      <c r="R5" s="47"/>
      <c r="S5" s="183"/>
      <c r="T5" s="183"/>
      <c r="U5" s="47"/>
      <c r="V5" s="183"/>
      <c r="W5" s="183"/>
      <c r="X5" s="47"/>
      <c r="Y5" s="183"/>
      <c r="Z5" s="183"/>
      <c r="AA5" s="47"/>
      <c r="AB5" s="183"/>
      <c r="AC5" s="183"/>
      <c r="AD5" s="47"/>
      <c r="AE5" s="183"/>
      <c r="AF5" s="183"/>
      <c r="AG5" s="47"/>
      <c r="AH5" s="183"/>
      <c r="AI5" s="183"/>
      <c r="AJ5" s="240"/>
      <c r="AK5" s="242"/>
      <c r="AL5" s="244"/>
      <c r="AM5" s="246"/>
    </row>
    <row r="6" spans="1:39" ht="15" customHeight="1">
      <c r="A6" s="226"/>
      <c r="B6" s="228"/>
      <c r="C6" s="221"/>
      <c r="D6" s="233"/>
      <c r="E6" s="233"/>
      <c r="F6" s="233"/>
      <c r="G6" s="222"/>
      <c r="H6" s="235"/>
      <c r="I6" s="47">
        <v>1</v>
      </c>
      <c r="J6" s="47">
        <v>2</v>
      </c>
      <c r="K6" s="47">
        <v>3</v>
      </c>
      <c r="L6" s="47">
        <v>1</v>
      </c>
      <c r="M6" s="47">
        <v>2</v>
      </c>
      <c r="N6" s="47">
        <v>3</v>
      </c>
      <c r="O6" s="47">
        <v>1</v>
      </c>
      <c r="P6" s="47">
        <v>2</v>
      </c>
      <c r="Q6" s="47">
        <v>3</v>
      </c>
      <c r="R6" s="47">
        <v>1</v>
      </c>
      <c r="S6" s="47">
        <v>2</v>
      </c>
      <c r="T6" s="47">
        <v>3</v>
      </c>
      <c r="U6" s="47">
        <v>1</v>
      </c>
      <c r="V6" s="47">
        <v>2</v>
      </c>
      <c r="W6" s="47">
        <v>3</v>
      </c>
      <c r="X6" s="47">
        <v>1</v>
      </c>
      <c r="Y6" s="47">
        <v>2</v>
      </c>
      <c r="Z6" s="47">
        <v>3</v>
      </c>
      <c r="AA6" s="47">
        <v>1</v>
      </c>
      <c r="AB6" s="47">
        <v>2</v>
      </c>
      <c r="AC6" s="47">
        <v>3</v>
      </c>
      <c r="AD6" s="47">
        <v>1</v>
      </c>
      <c r="AE6" s="47">
        <v>2</v>
      </c>
      <c r="AF6" s="47">
        <v>3</v>
      </c>
      <c r="AG6" s="47">
        <v>1</v>
      </c>
      <c r="AH6" s="47">
        <v>2</v>
      </c>
      <c r="AI6" s="47">
        <v>3</v>
      </c>
      <c r="AJ6" s="47" t="s">
        <v>828</v>
      </c>
      <c r="AK6" s="242"/>
      <c r="AL6" s="244"/>
      <c r="AM6" s="246"/>
    </row>
    <row r="7" spans="1:39" ht="24" customHeight="1">
      <c r="A7" s="70">
        <v>1</v>
      </c>
      <c r="B7" s="50" t="str">
        <f>IF(VALUE(MID(Dec!$B$1,2,1))="","",VLOOKUP(VALUE(MID(Dec!$B$1,2,1)),WPole_Vault,2))</f>
        <v>R</v>
      </c>
      <c r="C7" s="51" t="str">
        <f>IF(B7="","",IF(LEN(B7)=2,VLOOKUP(A1,WSB,VLOOKUP(LEFT(B7,1),Teams,6,FALSE),FALSE),VLOOKUP(A1,WSA,VLOOKUP(B7,Teams,6,FALSE),FALSE)))</f>
        <v>Trudi Carter</v>
      </c>
      <c r="D7" s="52" t="str">
        <f aca="true" t="shared" si="0" ref="D7:D14">IF(B7="","",VLOOKUP(LEFT(B7,1),Teams,2,FALSE))</f>
        <v>Team Dorset</v>
      </c>
      <c r="E7" s="71"/>
      <c r="F7" s="71"/>
      <c r="G7" s="72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55"/>
    </row>
    <row r="8" spans="1:39" ht="24" customHeight="1">
      <c r="A8" s="70">
        <v>2</v>
      </c>
      <c r="B8" s="50" t="str">
        <f>IF(VALUE(MID(Dec!$B$1,2,1))="","",VLOOKUP(VALUE(MID(Dec!$B$1,2,1)),WPole_Vault,3))</f>
        <v>E</v>
      </c>
      <c r="C8" s="51" t="str">
        <f>IF(B8="","",IF(LEN(B8)=2,VLOOKUP(A1,WSB,VLOOKUP(LEFT(B8,1),Teams,6,FALSE),FALSE),VLOOKUP(A1,WSA,VLOOKUP(B8,Teams,6,FALSE),FALSE)))</f>
        <v>Julia Machin</v>
      </c>
      <c r="D8" s="52" t="str">
        <f t="shared" si="0"/>
        <v>Epsom &amp; Ewell</v>
      </c>
      <c r="E8" s="71"/>
      <c r="F8" s="71"/>
      <c r="G8" s="7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55"/>
    </row>
    <row r="9" spans="1:39" ht="24" customHeight="1">
      <c r="A9" s="70">
        <v>3</v>
      </c>
      <c r="B9" s="50" t="str">
        <f>IF(VALUE(MID(Dec!$B$1,2,1))="","",VLOOKUP(VALUE(MID(Dec!$B$1,2,1)),WPole_Vault,4))</f>
        <v>T</v>
      </c>
      <c r="C9" s="51">
        <f>IF(B9="","",IF(LEN(B9)=2,VLOOKUP(A1,WSB,VLOOKUP(LEFT(B9,1),Teams,6,FALSE),FALSE),VLOOKUP(A1,WSA,VLOOKUP(B9,Teams,6,FALSE),FALSE)))</f>
        <v>0</v>
      </c>
      <c r="D9" s="52" t="str">
        <f t="shared" si="0"/>
        <v>Tonbridge</v>
      </c>
      <c r="E9" s="71"/>
      <c r="F9" s="71"/>
      <c r="G9" s="72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55"/>
    </row>
    <row r="10" spans="1:39" ht="24" customHeight="1">
      <c r="A10" s="70">
        <v>4</v>
      </c>
      <c r="B10" s="50" t="str">
        <f>IF(VALUE(MID(Dec!$B$1,2,1))="","",VLOOKUP(VALUE(MID(Dec!$B$1,2,1)),WPole_Vault,5))</f>
        <v>Y</v>
      </c>
      <c r="C10" s="51" t="str">
        <f>IF(B10="","",IF(LEN(B10)=2,VLOOKUP(A1,WSB,VLOOKUP(LEFT(B10,1),Teams,6,FALSE),FALSE),VLOOKUP(A1,WSA,VLOOKUP(B10,Teams,6,FALSE),FALSE)))</f>
        <v>Becy Owen</v>
      </c>
      <c r="D10" s="52" t="str">
        <f t="shared" si="0"/>
        <v>Crawley</v>
      </c>
      <c r="E10" s="71"/>
      <c r="F10" s="71"/>
      <c r="G10" s="7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55"/>
    </row>
    <row r="11" spans="1:39" ht="24" customHeight="1">
      <c r="A11" s="70">
        <v>5</v>
      </c>
      <c r="B11" s="50" t="str">
        <f>IF(VALUE(MID(Dec!$B$1,2,1))="","",VLOOKUP(VALUE(MID(Dec!$B$1,2,1)),WPole_Vault,6))</f>
        <v>RR</v>
      </c>
      <c r="C11" s="51">
        <f>IF(B11="","",IF(LEN(B11)=2,VLOOKUP(A1,WSB,VLOOKUP(LEFT(B11,1),Teams,6,FALSE),FALSE),VLOOKUP(A1,WSA,VLOOKUP(B11,Teams,6,FALSE),FALSE)))</f>
        <v>0</v>
      </c>
      <c r="D11" s="52" t="str">
        <f t="shared" si="0"/>
        <v>Team Dorset</v>
      </c>
      <c r="E11" s="71"/>
      <c r="F11" s="71"/>
      <c r="G11" s="72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55"/>
    </row>
    <row r="12" spans="1:39" ht="24" customHeight="1">
      <c r="A12" s="70">
        <v>6</v>
      </c>
      <c r="B12" s="50" t="str">
        <f>IF(VALUE(MID(Dec!$B$1,2,1))="","",VLOOKUP(VALUE(MID(Dec!$B$1,2,1)),WPole_Vault,7))</f>
        <v>EE</v>
      </c>
      <c r="C12" s="51" t="str">
        <f>IF(B12="","",IF(LEN(B12)=2,VLOOKUP(A1,WSB,VLOOKUP(LEFT(B12,1),Teams,6,FALSE),FALSE),VLOOKUP(A1,WSA,VLOOKUP(B12,Teams,6,FALSE),FALSE)))</f>
        <v>Lizzie Thompson</v>
      </c>
      <c r="D12" s="52" t="str">
        <f t="shared" si="0"/>
        <v>Epsom &amp; Ewell</v>
      </c>
      <c r="E12" s="71"/>
      <c r="F12" s="71"/>
      <c r="G12" s="72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55"/>
    </row>
    <row r="13" spans="1:39" ht="24" customHeight="1">
      <c r="A13" s="70">
        <v>7</v>
      </c>
      <c r="B13" s="50" t="str">
        <f>IF(VALUE(MID(Dec!$B$1,2,1))="","",VLOOKUP(VALUE(MID(Dec!$B$1,2,1)),WPole_Vault,8))</f>
        <v>TT</v>
      </c>
      <c r="C13" s="51">
        <f>IF(B13="","",IF(LEN(B13)=2,VLOOKUP(A1,WSB,VLOOKUP(LEFT(B13,1),Teams,6,FALSE),FALSE),VLOOKUP(A1,WSA,VLOOKUP(B13,Teams,6,FALSE),FALSE)))</f>
        <v>0</v>
      </c>
      <c r="D13" s="52" t="str">
        <f t="shared" si="0"/>
        <v>Tonbridge</v>
      </c>
      <c r="E13" s="71"/>
      <c r="F13" s="71"/>
      <c r="G13" s="72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55"/>
    </row>
    <row r="14" spans="1:39" ht="24" customHeight="1">
      <c r="A14" s="70">
        <v>8</v>
      </c>
      <c r="B14" s="50" t="str">
        <f>IF(VALUE(MID(Dec!$B$1,2,1))="","",VLOOKUP(VALUE(MID(Dec!$B$1,2,1)),WPole_Vault,9))</f>
        <v>YY</v>
      </c>
      <c r="C14" s="51" t="str">
        <f>IF(B14="","",IF(LEN(B14)=2,VLOOKUP(A1,WSB,VLOOKUP(LEFT(B14,1),Teams,6,FALSE),FALSE),VLOOKUP(A1,WSA,VLOOKUP(B14,Teams,6,FALSE),FALSE)))</f>
        <v>Becky Owen</v>
      </c>
      <c r="D14" s="52" t="str">
        <f t="shared" si="0"/>
        <v>Crawley</v>
      </c>
      <c r="E14" s="71"/>
      <c r="F14" s="71"/>
      <c r="G14" s="72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55"/>
    </row>
    <row r="15" spans="1:39" ht="24" customHeight="1">
      <c r="A15" s="70">
        <v>9</v>
      </c>
      <c r="B15" s="50"/>
      <c r="C15" s="51"/>
      <c r="D15" s="52"/>
      <c r="E15" s="71"/>
      <c r="F15" s="71"/>
      <c r="G15" s="72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55"/>
    </row>
    <row r="16" spans="1:39" ht="24" customHeight="1">
      <c r="A16" s="70">
        <v>10</v>
      </c>
      <c r="B16" s="50"/>
      <c r="C16" s="51"/>
      <c r="D16" s="52"/>
      <c r="E16" s="71"/>
      <c r="F16" s="71"/>
      <c r="G16" s="72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55"/>
    </row>
    <row r="17" spans="1:39" ht="24" customHeight="1">
      <c r="A17" s="70">
        <v>11</v>
      </c>
      <c r="B17" s="50"/>
      <c r="C17" s="51"/>
      <c r="D17" s="52"/>
      <c r="E17" s="71"/>
      <c r="F17" s="71"/>
      <c r="G17" s="7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55"/>
    </row>
    <row r="18" spans="1:39" ht="24" customHeight="1">
      <c r="A18" s="70">
        <v>12</v>
      </c>
      <c r="B18" s="50"/>
      <c r="C18" s="51"/>
      <c r="D18" s="52"/>
      <c r="E18" s="71"/>
      <c r="F18" s="71"/>
      <c r="G18" s="7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55"/>
    </row>
    <row r="19" spans="1:39" ht="24" customHeight="1">
      <c r="A19" s="70">
        <v>13</v>
      </c>
      <c r="B19" s="50"/>
      <c r="C19" s="51"/>
      <c r="D19" s="52"/>
      <c r="E19" s="71"/>
      <c r="F19" s="71"/>
      <c r="G19" s="72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55"/>
    </row>
    <row r="20" spans="1:39" ht="24" customHeight="1">
      <c r="A20" s="70">
        <v>14</v>
      </c>
      <c r="B20" s="50"/>
      <c r="C20" s="51"/>
      <c r="D20" s="52"/>
      <c r="E20" s="71"/>
      <c r="F20" s="71"/>
      <c r="G20" s="72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55"/>
    </row>
    <row r="21" spans="1:39" ht="24" customHeight="1">
      <c r="A21" s="70">
        <v>15</v>
      </c>
      <c r="B21" s="50"/>
      <c r="C21" s="51"/>
      <c r="D21" s="52"/>
      <c r="E21" s="71"/>
      <c r="F21" s="71"/>
      <c r="G21" s="72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55"/>
    </row>
    <row r="22" spans="1:39" ht="24" customHeight="1" thickBot="1">
      <c r="A22" s="73">
        <v>16</v>
      </c>
      <c r="B22" s="58"/>
      <c r="C22" s="51"/>
      <c r="D22" s="52"/>
      <c r="E22" s="71"/>
      <c r="F22" s="71"/>
      <c r="G22" s="7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2"/>
    </row>
    <row r="23" spans="4:7" ht="4.5" customHeight="1" thickBot="1">
      <c r="D23" s="247"/>
      <c r="E23" s="247"/>
      <c r="F23" s="247"/>
      <c r="G23" s="247"/>
    </row>
    <row r="24" spans="1:39" ht="12">
      <c r="A24" s="248" t="s">
        <v>829</v>
      </c>
      <c r="B24" s="249"/>
      <c r="C24" s="249"/>
      <c r="D24" s="249"/>
      <c r="E24" s="249"/>
      <c r="F24" s="249"/>
      <c r="G24" s="249"/>
      <c r="H24" s="250"/>
      <c r="I24" s="74" t="s">
        <v>876</v>
      </c>
      <c r="J24" s="194" t="s">
        <v>829</v>
      </c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51"/>
      <c r="AJ24" s="252" t="s">
        <v>831</v>
      </c>
      <c r="AK24" s="253"/>
      <c r="AL24" s="253"/>
      <c r="AM24" s="254"/>
    </row>
    <row r="25" spans="1:39" ht="12">
      <c r="A25" s="75" t="s">
        <v>832</v>
      </c>
      <c r="B25" s="76" t="s">
        <v>833</v>
      </c>
      <c r="C25" s="76" t="s">
        <v>970</v>
      </c>
      <c r="D25" s="76" t="s">
        <v>971</v>
      </c>
      <c r="E25" s="258" t="s">
        <v>828</v>
      </c>
      <c r="F25" s="258"/>
      <c r="G25" s="258"/>
      <c r="H25" s="77" t="s">
        <v>834</v>
      </c>
      <c r="I25" s="259" t="s">
        <v>832</v>
      </c>
      <c r="J25" s="258"/>
      <c r="K25" s="258"/>
      <c r="L25" s="258" t="s">
        <v>833</v>
      </c>
      <c r="M25" s="258"/>
      <c r="N25" s="258"/>
      <c r="O25" s="258" t="s">
        <v>970</v>
      </c>
      <c r="P25" s="258"/>
      <c r="Q25" s="258"/>
      <c r="R25" s="258"/>
      <c r="S25" s="258"/>
      <c r="T25" s="258"/>
      <c r="U25" s="258"/>
      <c r="V25" s="258"/>
      <c r="W25" s="258"/>
      <c r="X25" s="258"/>
      <c r="Y25" s="258" t="s">
        <v>971</v>
      </c>
      <c r="Z25" s="258"/>
      <c r="AA25" s="258"/>
      <c r="AB25" s="258"/>
      <c r="AC25" s="258"/>
      <c r="AD25" s="258"/>
      <c r="AE25" s="258" t="s">
        <v>828</v>
      </c>
      <c r="AF25" s="258"/>
      <c r="AG25" s="258"/>
      <c r="AH25" s="258" t="s">
        <v>834</v>
      </c>
      <c r="AI25" s="260"/>
      <c r="AJ25" s="255"/>
      <c r="AK25" s="256"/>
      <c r="AL25" s="256"/>
      <c r="AM25" s="257"/>
    </row>
    <row r="26" spans="1:39" ht="24" customHeight="1">
      <c r="A26" s="78" t="s">
        <v>835</v>
      </c>
      <c r="B26" s="46"/>
      <c r="C26" s="46"/>
      <c r="D26" s="46"/>
      <c r="E26" s="46"/>
      <c r="F26" s="200"/>
      <c r="G26" s="200"/>
      <c r="H26" s="55"/>
      <c r="I26" s="261" t="s">
        <v>877</v>
      </c>
      <c r="J26" s="262"/>
      <c r="K26" s="262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69"/>
      <c r="AF26" s="200"/>
      <c r="AG26" s="200"/>
      <c r="AH26" s="200"/>
      <c r="AI26" s="263"/>
      <c r="AJ26" s="255"/>
      <c r="AK26" s="256"/>
      <c r="AL26" s="256"/>
      <c r="AM26" s="257"/>
    </row>
    <row r="27" spans="1:39" ht="24" customHeight="1">
      <c r="A27" s="78" t="s">
        <v>837</v>
      </c>
      <c r="B27" s="46"/>
      <c r="C27" s="46"/>
      <c r="D27" s="46"/>
      <c r="E27" s="46"/>
      <c r="F27" s="200"/>
      <c r="G27" s="200"/>
      <c r="H27" s="55"/>
      <c r="I27" s="261" t="s">
        <v>878</v>
      </c>
      <c r="J27" s="262"/>
      <c r="K27" s="262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69"/>
      <c r="AF27" s="200"/>
      <c r="AG27" s="200"/>
      <c r="AH27" s="200"/>
      <c r="AI27" s="263"/>
      <c r="AJ27" s="255"/>
      <c r="AK27" s="256"/>
      <c r="AL27" s="256"/>
      <c r="AM27" s="257"/>
    </row>
    <row r="28" spans="1:39" ht="24" customHeight="1">
      <c r="A28" s="78" t="s">
        <v>839</v>
      </c>
      <c r="B28" s="46"/>
      <c r="C28" s="46"/>
      <c r="D28" s="46"/>
      <c r="E28" s="46"/>
      <c r="F28" s="200"/>
      <c r="G28" s="200"/>
      <c r="H28" s="55"/>
      <c r="I28" s="261" t="s">
        <v>879</v>
      </c>
      <c r="J28" s="262"/>
      <c r="K28" s="262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69"/>
      <c r="AF28" s="200"/>
      <c r="AG28" s="200"/>
      <c r="AH28" s="200"/>
      <c r="AI28" s="263"/>
      <c r="AJ28" s="255"/>
      <c r="AK28" s="256"/>
      <c r="AL28" s="256"/>
      <c r="AM28" s="257"/>
    </row>
    <row r="29" spans="1:39" ht="24" customHeight="1">
      <c r="A29" s="78" t="s">
        <v>841</v>
      </c>
      <c r="B29" s="46"/>
      <c r="C29" s="46"/>
      <c r="D29" s="46"/>
      <c r="E29" s="46"/>
      <c r="F29" s="200"/>
      <c r="G29" s="200"/>
      <c r="H29" s="55"/>
      <c r="I29" s="267" t="s">
        <v>880</v>
      </c>
      <c r="J29" s="268"/>
      <c r="K29" s="268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69"/>
      <c r="AF29" s="200"/>
      <c r="AG29" s="200"/>
      <c r="AH29" s="200"/>
      <c r="AI29" s="263"/>
      <c r="AJ29" s="255"/>
      <c r="AK29" s="256"/>
      <c r="AL29" s="256"/>
      <c r="AM29" s="257"/>
    </row>
    <row r="30" spans="1:39" ht="24" customHeight="1">
      <c r="A30" s="78" t="s">
        <v>843</v>
      </c>
      <c r="B30" s="46"/>
      <c r="C30" s="46"/>
      <c r="D30" s="46"/>
      <c r="E30" s="46"/>
      <c r="F30" s="200"/>
      <c r="G30" s="200"/>
      <c r="H30" s="55"/>
      <c r="I30" s="267" t="s">
        <v>881</v>
      </c>
      <c r="J30" s="268"/>
      <c r="K30" s="268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69"/>
      <c r="AF30" s="200"/>
      <c r="AG30" s="200"/>
      <c r="AH30" s="200"/>
      <c r="AI30" s="263"/>
      <c r="AJ30" s="255" t="s">
        <v>847</v>
      </c>
      <c r="AK30" s="256"/>
      <c r="AL30" s="256"/>
      <c r="AM30" s="257"/>
    </row>
    <row r="31" spans="1:39" ht="24" customHeight="1">
      <c r="A31" s="78" t="s">
        <v>845</v>
      </c>
      <c r="B31" s="46"/>
      <c r="C31" s="46"/>
      <c r="D31" s="46"/>
      <c r="E31" s="46"/>
      <c r="F31" s="200"/>
      <c r="G31" s="200"/>
      <c r="H31" s="55"/>
      <c r="I31" s="267" t="s">
        <v>882</v>
      </c>
      <c r="J31" s="268"/>
      <c r="K31" s="268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69"/>
      <c r="AF31" s="200"/>
      <c r="AG31" s="200"/>
      <c r="AH31" s="200"/>
      <c r="AI31" s="263"/>
      <c r="AJ31" s="255"/>
      <c r="AK31" s="256"/>
      <c r="AL31" s="256"/>
      <c r="AM31" s="257"/>
    </row>
    <row r="32" spans="1:39" ht="24" customHeight="1">
      <c r="A32" s="78" t="s">
        <v>848</v>
      </c>
      <c r="B32" s="46"/>
      <c r="C32" s="46"/>
      <c r="D32" s="46"/>
      <c r="E32" s="46"/>
      <c r="F32" s="200"/>
      <c r="G32" s="200"/>
      <c r="H32" s="55"/>
      <c r="I32" s="267" t="s">
        <v>883</v>
      </c>
      <c r="J32" s="268"/>
      <c r="K32" s="268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69"/>
      <c r="AF32" s="200"/>
      <c r="AG32" s="200"/>
      <c r="AH32" s="200"/>
      <c r="AI32" s="263"/>
      <c r="AJ32" s="255"/>
      <c r="AK32" s="256"/>
      <c r="AL32" s="256"/>
      <c r="AM32" s="257"/>
    </row>
    <row r="33" spans="1:39" ht="24" customHeight="1" thickBot="1">
      <c r="A33" s="79" t="s">
        <v>850</v>
      </c>
      <c r="B33" s="59"/>
      <c r="C33" s="59"/>
      <c r="D33" s="59"/>
      <c r="E33" s="59"/>
      <c r="F33" s="265"/>
      <c r="G33" s="265"/>
      <c r="H33" s="62"/>
      <c r="I33" s="269" t="s">
        <v>884</v>
      </c>
      <c r="J33" s="270"/>
      <c r="K33" s="270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80"/>
      <c r="AF33" s="265"/>
      <c r="AG33" s="265"/>
      <c r="AH33" s="265"/>
      <c r="AI33" s="266"/>
      <c r="AJ33" s="264"/>
      <c r="AK33" s="265"/>
      <c r="AL33" s="265"/>
      <c r="AM33" s="266"/>
    </row>
    <row r="34" ht="12">
      <c r="A34" t="s">
        <v>899</v>
      </c>
    </row>
    <row r="35" spans="1:39" ht="12">
      <c r="A35" s="238" t="s">
        <v>870</v>
      </c>
      <c r="B35" s="238"/>
      <c r="C35" s="238"/>
      <c r="D35" s="237" t="str">
        <f>"Date: "&amp;TEXT(Dec!D$3,"dd mmmm yyyy")</f>
        <v>Date: 21 June 2014</v>
      </c>
      <c r="E35" s="237"/>
      <c r="F35" s="237"/>
      <c r="G35" s="237"/>
      <c r="H35" s="223" t="s">
        <v>813</v>
      </c>
      <c r="I35" s="223"/>
      <c r="J35" s="223"/>
      <c r="K35" s="223"/>
      <c r="L35" s="223"/>
      <c r="M35" s="223"/>
      <c r="N35" s="223"/>
      <c r="O35" s="223"/>
      <c r="P35" s="223" t="str">
        <f>"Venue: "&amp;Dec!$B$3</f>
        <v>Venue: Kingston</v>
      </c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 t="s">
        <v>856</v>
      </c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</row>
    <row r="36" spans="1:39" ht="12.75" thickBot="1">
      <c r="A36" s="237" t="str">
        <f>"Event: Men's High Jump - "&amp;Dec!B8</f>
        <v>Event: Men's High Jump - Tonbridge</v>
      </c>
      <c r="B36" s="237"/>
      <c r="C36" s="237"/>
      <c r="D36" s="237"/>
      <c r="E36" s="237"/>
      <c r="F36" s="237"/>
      <c r="G36" s="237"/>
      <c r="H36" s="223" t="s">
        <v>861</v>
      </c>
      <c r="I36" s="223"/>
      <c r="J36" s="223"/>
      <c r="K36" s="223"/>
      <c r="L36" s="223"/>
      <c r="M36" s="223"/>
      <c r="N36" s="223"/>
      <c r="O36" s="223"/>
      <c r="P36" s="223" t="s">
        <v>871</v>
      </c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 t="s">
        <v>815</v>
      </c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</row>
    <row r="37" spans="1:39" ht="15" customHeight="1">
      <c r="A37" s="225" t="s">
        <v>816</v>
      </c>
      <c r="B37" s="227" t="s">
        <v>817</v>
      </c>
      <c r="C37" s="219" t="s">
        <v>367</v>
      </c>
      <c r="D37" s="229"/>
      <c r="E37" s="229"/>
      <c r="F37" s="229"/>
      <c r="G37" s="220"/>
      <c r="H37" s="234" t="s">
        <v>872</v>
      </c>
      <c r="I37" s="236" t="s">
        <v>828</v>
      </c>
      <c r="J37" s="236"/>
      <c r="K37" s="236"/>
      <c r="L37" s="236" t="s">
        <v>828</v>
      </c>
      <c r="M37" s="236"/>
      <c r="N37" s="236"/>
      <c r="O37" s="236" t="s">
        <v>828</v>
      </c>
      <c r="P37" s="236"/>
      <c r="Q37" s="236"/>
      <c r="R37" s="236" t="s">
        <v>828</v>
      </c>
      <c r="S37" s="236"/>
      <c r="T37" s="236"/>
      <c r="U37" s="236" t="s">
        <v>828</v>
      </c>
      <c r="V37" s="236"/>
      <c r="W37" s="236"/>
      <c r="X37" s="236" t="s">
        <v>828</v>
      </c>
      <c r="Y37" s="236"/>
      <c r="Z37" s="236"/>
      <c r="AA37" s="236" t="s">
        <v>828</v>
      </c>
      <c r="AB37" s="236"/>
      <c r="AC37" s="236"/>
      <c r="AD37" s="236" t="s">
        <v>828</v>
      </c>
      <c r="AE37" s="236"/>
      <c r="AF37" s="236"/>
      <c r="AG37" s="236" t="s">
        <v>828</v>
      </c>
      <c r="AH37" s="236"/>
      <c r="AI37" s="236"/>
      <c r="AJ37" s="239" t="s">
        <v>873</v>
      </c>
      <c r="AK37" s="241" t="s">
        <v>874</v>
      </c>
      <c r="AL37" s="243" t="s">
        <v>875</v>
      </c>
      <c r="AM37" s="245" t="s">
        <v>827</v>
      </c>
    </row>
    <row r="38" spans="1:39" ht="15" customHeight="1">
      <c r="A38" s="226"/>
      <c r="B38" s="228"/>
      <c r="C38" s="230"/>
      <c r="D38" s="231"/>
      <c r="E38" s="231"/>
      <c r="F38" s="231"/>
      <c r="G38" s="232"/>
      <c r="H38" s="235"/>
      <c r="I38" s="47"/>
      <c r="J38" s="183"/>
      <c r="K38" s="183"/>
      <c r="L38" s="47"/>
      <c r="M38" s="183"/>
      <c r="N38" s="183"/>
      <c r="O38" s="47"/>
      <c r="P38" s="183"/>
      <c r="Q38" s="183"/>
      <c r="R38" s="47"/>
      <c r="S38" s="183"/>
      <c r="T38" s="183"/>
      <c r="U38" s="47"/>
      <c r="V38" s="183"/>
      <c r="W38" s="183"/>
      <c r="X38" s="47"/>
      <c r="Y38" s="183"/>
      <c r="Z38" s="183"/>
      <c r="AA38" s="47"/>
      <c r="AB38" s="183"/>
      <c r="AC38" s="183"/>
      <c r="AD38" s="47"/>
      <c r="AE38" s="183"/>
      <c r="AF38" s="183"/>
      <c r="AG38" s="47"/>
      <c r="AH38" s="183"/>
      <c r="AI38" s="183"/>
      <c r="AJ38" s="240"/>
      <c r="AK38" s="242"/>
      <c r="AL38" s="244"/>
      <c r="AM38" s="246"/>
    </row>
    <row r="39" spans="1:39" ht="15" customHeight="1">
      <c r="A39" s="226"/>
      <c r="B39" s="228"/>
      <c r="C39" s="221"/>
      <c r="D39" s="233"/>
      <c r="E39" s="233"/>
      <c r="F39" s="233"/>
      <c r="G39" s="222"/>
      <c r="H39" s="235"/>
      <c r="I39" s="47">
        <v>1</v>
      </c>
      <c r="J39" s="47">
        <v>2</v>
      </c>
      <c r="K39" s="47">
        <v>3</v>
      </c>
      <c r="L39" s="47">
        <v>1</v>
      </c>
      <c r="M39" s="47">
        <v>2</v>
      </c>
      <c r="N39" s="47">
        <v>3</v>
      </c>
      <c r="O39" s="47">
        <v>1</v>
      </c>
      <c r="P39" s="47">
        <v>2</v>
      </c>
      <c r="Q39" s="47">
        <v>3</v>
      </c>
      <c r="R39" s="47">
        <v>1</v>
      </c>
      <c r="S39" s="47">
        <v>2</v>
      </c>
      <c r="T39" s="47">
        <v>3</v>
      </c>
      <c r="U39" s="47">
        <v>1</v>
      </c>
      <c r="V39" s="47">
        <v>2</v>
      </c>
      <c r="W39" s="47">
        <v>3</v>
      </c>
      <c r="X39" s="47">
        <v>1</v>
      </c>
      <c r="Y39" s="47">
        <v>2</v>
      </c>
      <c r="Z39" s="47">
        <v>3</v>
      </c>
      <c r="AA39" s="47">
        <v>1</v>
      </c>
      <c r="AB39" s="47">
        <v>2</v>
      </c>
      <c r="AC39" s="47">
        <v>3</v>
      </c>
      <c r="AD39" s="47">
        <v>1</v>
      </c>
      <c r="AE39" s="47">
        <v>2</v>
      </c>
      <c r="AF39" s="47">
        <v>3</v>
      </c>
      <c r="AG39" s="47">
        <v>1</v>
      </c>
      <c r="AH39" s="47">
        <v>2</v>
      </c>
      <c r="AI39" s="47">
        <v>3</v>
      </c>
      <c r="AJ39" s="47" t="s">
        <v>828</v>
      </c>
      <c r="AK39" s="242"/>
      <c r="AL39" s="244"/>
      <c r="AM39" s="246"/>
    </row>
    <row r="40" spans="1:39" ht="24" customHeight="1">
      <c r="A40" s="70">
        <v>1</v>
      </c>
      <c r="B40" s="50" t="str">
        <f>IF(VALUE(MID(Dec!$B$1,2,1))="","",VLOOKUP(VALUE(MID(Dec!$B$1,2,1)),MHigh_Jump,2))</f>
        <v>T</v>
      </c>
      <c r="C40" s="51" t="str">
        <f>IF(B40="","",IF(LEN(B40)=2,VLOOKUP(A34,MSB,VLOOKUP(LEFT(B40,1),Teams,6,FALSE),FALSE),VLOOKUP(A34,MSA,VLOOKUP(B40,Teams,6,FALSE),FALSE)))</f>
        <v>Lewis Church</v>
      </c>
      <c r="D40" s="52" t="str">
        <f aca="true" t="shared" si="1" ref="D40:D47">IF(B40="","",VLOOKUP(LEFT(B40,1),Teams,2,FALSE))</f>
        <v>Tonbridge</v>
      </c>
      <c r="E40" s="71"/>
      <c r="F40" s="71"/>
      <c r="G40" s="72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55"/>
    </row>
    <row r="41" spans="1:39" ht="24" customHeight="1">
      <c r="A41" s="70">
        <v>2</v>
      </c>
      <c r="B41" s="50" t="str">
        <f>IF(VALUE(MID(Dec!$B$1,2,1))="","",VLOOKUP(VALUE(MID(Dec!$B$1,2,1)),MHigh_Jump,3))</f>
        <v>Y</v>
      </c>
      <c r="C41" s="51" t="str">
        <f>IF(B41="","",IF(LEN(B41)=2,VLOOKUP(A34,MSB,VLOOKUP(LEFT(B41,1),Teams,6,FALSE),FALSE),VLOOKUP(A34,MSA,VLOOKUP(B41,Teams,6,FALSE),FALSE)))</f>
        <v>Richard Reeks</v>
      </c>
      <c r="D41" s="52" t="str">
        <f t="shared" si="1"/>
        <v>Crawley</v>
      </c>
      <c r="E41" s="71"/>
      <c r="F41" s="71"/>
      <c r="G41" s="72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55"/>
    </row>
    <row r="42" spans="1:39" ht="24" customHeight="1">
      <c r="A42" s="70">
        <v>3</v>
      </c>
      <c r="B42" s="50" t="str">
        <f>IF(VALUE(MID(Dec!$B$1,2,1))="","",VLOOKUP(VALUE(MID(Dec!$B$1,2,1)),MHigh_Jump,4))</f>
        <v>R</v>
      </c>
      <c r="C42" s="51" t="str">
        <f>IF(B42="","",IF(LEN(B42)=2,VLOOKUP(A34,MSB,VLOOKUP(LEFT(B42,1),Teams,6,FALSE),FALSE),VLOOKUP(A34,MSA,VLOOKUP(B42,Teams,6,FALSE),FALSE)))</f>
        <v>Jack Roach</v>
      </c>
      <c r="D42" s="52" t="str">
        <f t="shared" si="1"/>
        <v>Team Dorset</v>
      </c>
      <c r="E42" s="71"/>
      <c r="F42" s="71"/>
      <c r="G42" s="72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55"/>
    </row>
    <row r="43" spans="1:39" ht="24" customHeight="1">
      <c r="A43" s="70">
        <v>4</v>
      </c>
      <c r="B43" s="50" t="str">
        <f>IF(VALUE(MID(Dec!$B$1,2,1))="","",VLOOKUP(VALUE(MID(Dec!$B$1,2,1)),MHigh_Jump,5))</f>
        <v>E</v>
      </c>
      <c r="C43" s="51" t="str">
        <f>IF(B43="","",IF(LEN(B43)=2,VLOOKUP(A34,MSB,VLOOKUP(LEFT(B43,1),Teams,6,FALSE),FALSE),VLOOKUP(A34,MSA,VLOOKUP(B43,Teams,6,FALSE),FALSE)))</f>
        <v>Martin Lay</v>
      </c>
      <c r="D43" s="52" t="str">
        <f t="shared" si="1"/>
        <v>Epsom &amp; Ewell</v>
      </c>
      <c r="E43" s="71"/>
      <c r="F43" s="71"/>
      <c r="G43" s="72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55"/>
    </row>
    <row r="44" spans="1:39" ht="24" customHeight="1">
      <c r="A44" s="70">
        <v>5</v>
      </c>
      <c r="B44" s="50" t="str">
        <f>IF(VALUE(MID(Dec!$B$1,2,1))="","",VLOOKUP(VALUE(MID(Dec!$B$1,2,1)),MHigh_Jump,6))</f>
        <v>TT</v>
      </c>
      <c r="C44" s="51" t="str">
        <f>IF(B44="","",IF(LEN(B44)=2,VLOOKUP(A34,MSB,VLOOKUP(LEFT(B44,1),Teams,6,FALSE),FALSE),VLOOKUP(A34,MSA,VLOOKUP(B44,Teams,6,FALSE),FALSE)))</f>
        <v>Harry Kendal</v>
      </c>
      <c r="D44" s="52" t="str">
        <f t="shared" si="1"/>
        <v>Tonbridge</v>
      </c>
      <c r="E44" s="71"/>
      <c r="F44" s="71"/>
      <c r="G44" s="72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55"/>
    </row>
    <row r="45" spans="1:39" ht="24" customHeight="1">
      <c r="A45" s="70">
        <v>6</v>
      </c>
      <c r="B45" s="50" t="str">
        <f>IF(VALUE(MID(Dec!$B$1,2,1))="","",VLOOKUP(VALUE(MID(Dec!$B$1,2,1)),MHigh_Jump,7))</f>
        <v>YY</v>
      </c>
      <c r="C45" s="51" t="str">
        <f>IF(B45="","",IF(LEN(B45)=2,VLOOKUP(A34,MSB,VLOOKUP(LEFT(B45,1),Teams,6,FALSE),FALSE),VLOOKUP(A34,MSA,VLOOKUP(B45,Teams,6,FALSE),FALSE)))</f>
        <v>Jamie Moore </v>
      </c>
      <c r="D45" s="52" t="str">
        <f t="shared" si="1"/>
        <v>Crawley</v>
      </c>
      <c r="E45" s="71"/>
      <c r="F45" s="71"/>
      <c r="G45" s="72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55"/>
    </row>
    <row r="46" spans="1:39" ht="24" customHeight="1">
      <c r="A46" s="70">
        <v>7</v>
      </c>
      <c r="B46" s="50" t="str">
        <f>IF(VALUE(MID(Dec!$B$1,2,1))="","",VLOOKUP(VALUE(MID(Dec!$B$1,2,1)),MHigh_Jump,8))</f>
        <v>RR</v>
      </c>
      <c r="C46" s="51" t="str">
        <f>IF(B46="","",IF(LEN(B46)=2,VLOOKUP(A34,MSB,VLOOKUP(LEFT(B46,1),Teams,6,FALSE),FALSE),VLOOKUP(A34,MSA,VLOOKUP(B46,Teams,6,FALSE),FALSE)))</f>
        <v>Piers Copeland</v>
      </c>
      <c r="D46" s="52" t="str">
        <f t="shared" si="1"/>
        <v>Team Dorset</v>
      </c>
      <c r="E46" s="71"/>
      <c r="F46" s="71"/>
      <c r="G46" s="72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55"/>
    </row>
    <row r="47" spans="1:39" ht="24" customHeight="1">
      <c r="A47" s="70">
        <v>8</v>
      </c>
      <c r="B47" s="50" t="str">
        <f>IF(VALUE(MID(Dec!$B$1,2,1))="","",VLOOKUP(VALUE(MID(Dec!$B$1,2,1)),MHigh_Jump,9))</f>
        <v>EE</v>
      </c>
      <c r="C47" s="51" t="str">
        <f>IF(B47="","",IF(LEN(B47)=2,VLOOKUP(A34,MSB,VLOOKUP(LEFT(B47,1),Teams,6,FALSE),FALSE),VLOOKUP(A34,MSA,VLOOKUP(B47,Teams,6,FALSE),FALSE)))</f>
        <v>Ian Frankish</v>
      </c>
      <c r="D47" s="52" t="str">
        <f t="shared" si="1"/>
        <v>Epsom &amp; Ewell</v>
      </c>
      <c r="E47" s="71"/>
      <c r="F47" s="71"/>
      <c r="G47" s="72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55"/>
    </row>
    <row r="48" spans="1:39" ht="24" customHeight="1">
      <c r="A48" s="70">
        <v>9</v>
      </c>
      <c r="B48" s="50"/>
      <c r="C48" s="51"/>
      <c r="D48" s="52"/>
      <c r="E48" s="71"/>
      <c r="F48" s="71"/>
      <c r="G48" s="72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55"/>
    </row>
    <row r="49" spans="1:39" ht="24" customHeight="1">
      <c r="A49" s="70">
        <v>10</v>
      </c>
      <c r="B49" s="50"/>
      <c r="C49" s="51"/>
      <c r="D49" s="52"/>
      <c r="E49" s="71"/>
      <c r="F49" s="71"/>
      <c r="G49" s="72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55"/>
    </row>
    <row r="50" spans="1:39" ht="24" customHeight="1">
      <c r="A50" s="70">
        <v>11</v>
      </c>
      <c r="B50" s="50"/>
      <c r="C50" s="51"/>
      <c r="D50" s="52"/>
      <c r="E50" s="71"/>
      <c r="F50" s="71"/>
      <c r="G50" s="72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55"/>
    </row>
    <row r="51" spans="1:39" ht="24" customHeight="1">
      <c r="A51" s="70">
        <v>12</v>
      </c>
      <c r="B51" s="50"/>
      <c r="C51" s="51"/>
      <c r="D51" s="52"/>
      <c r="E51" s="71"/>
      <c r="F51" s="71"/>
      <c r="G51" s="72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55"/>
    </row>
    <row r="52" spans="1:39" ht="24" customHeight="1">
      <c r="A52" s="70">
        <v>13</v>
      </c>
      <c r="B52" s="50"/>
      <c r="C52" s="51"/>
      <c r="D52" s="52"/>
      <c r="E52" s="71"/>
      <c r="F52" s="71"/>
      <c r="G52" s="72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55"/>
    </row>
    <row r="53" spans="1:39" ht="24" customHeight="1">
      <c r="A53" s="70">
        <v>14</v>
      </c>
      <c r="B53" s="50"/>
      <c r="C53" s="51"/>
      <c r="D53" s="52"/>
      <c r="E53" s="71"/>
      <c r="F53" s="71"/>
      <c r="G53" s="72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55"/>
    </row>
    <row r="54" spans="1:39" ht="24" customHeight="1">
      <c r="A54" s="70">
        <v>15</v>
      </c>
      <c r="B54" s="50"/>
      <c r="C54" s="51"/>
      <c r="D54" s="52"/>
      <c r="E54" s="71"/>
      <c r="F54" s="71"/>
      <c r="G54" s="72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55"/>
    </row>
    <row r="55" spans="1:39" ht="24" customHeight="1" thickBot="1">
      <c r="A55" s="73">
        <v>16</v>
      </c>
      <c r="B55" s="58"/>
      <c r="C55" s="51"/>
      <c r="D55" s="52"/>
      <c r="E55" s="71"/>
      <c r="F55" s="71"/>
      <c r="G55" s="7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62"/>
    </row>
    <row r="56" spans="4:7" ht="4.5" customHeight="1" thickBot="1">
      <c r="D56" s="247"/>
      <c r="E56" s="247"/>
      <c r="F56" s="247"/>
      <c r="G56" s="247"/>
    </row>
    <row r="57" spans="1:39" ht="12">
      <c r="A57" s="248" t="s">
        <v>829</v>
      </c>
      <c r="B57" s="249"/>
      <c r="C57" s="249"/>
      <c r="D57" s="249"/>
      <c r="E57" s="249"/>
      <c r="F57" s="249"/>
      <c r="G57" s="249"/>
      <c r="H57" s="250"/>
      <c r="I57" s="74" t="s">
        <v>876</v>
      </c>
      <c r="J57" s="194" t="s">
        <v>829</v>
      </c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51"/>
      <c r="AJ57" s="252" t="s">
        <v>831</v>
      </c>
      <c r="AK57" s="253"/>
      <c r="AL57" s="253"/>
      <c r="AM57" s="254"/>
    </row>
    <row r="58" spans="1:39" ht="12">
      <c r="A58" s="75" t="s">
        <v>832</v>
      </c>
      <c r="B58" s="76" t="s">
        <v>833</v>
      </c>
      <c r="C58" s="76" t="s">
        <v>970</v>
      </c>
      <c r="D58" s="76" t="s">
        <v>971</v>
      </c>
      <c r="E58" s="258" t="s">
        <v>828</v>
      </c>
      <c r="F58" s="258"/>
      <c r="G58" s="258"/>
      <c r="H58" s="77" t="s">
        <v>834</v>
      </c>
      <c r="I58" s="259" t="s">
        <v>832</v>
      </c>
      <c r="J58" s="258"/>
      <c r="K58" s="258"/>
      <c r="L58" s="258" t="s">
        <v>833</v>
      </c>
      <c r="M58" s="258"/>
      <c r="N58" s="258"/>
      <c r="O58" s="258" t="s">
        <v>970</v>
      </c>
      <c r="P58" s="258"/>
      <c r="Q58" s="258"/>
      <c r="R58" s="258"/>
      <c r="S58" s="258"/>
      <c r="T58" s="258"/>
      <c r="U58" s="258"/>
      <c r="V58" s="258"/>
      <c r="W58" s="258"/>
      <c r="X58" s="258"/>
      <c r="Y58" s="258" t="s">
        <v>971</v>
      </c>
      <c r="Z58" s="258"/>
      <c r="AA58" s="258"/>
      <c r="AB58" s="258"/>
      <c r="AC58" s="258"/>
      <c r="AD58" s="258"/>
      <c r="AE58" s="258" t="s">
        <v>828</v>
      </c>
      <c r="AF58" s="258"/>
      <c r="AG58" s="258"/>
      <c r="AH58" s="258" t="s">
        <v>834</v>
      </c>
      <c r="AI58" s="260"/>
      <c r="AJ58" s="255"/>
      <c r="AK58" s="256"/>
      <c r="AL58" s="256"/>
      <c r="AM58" s="257"/>
    </row>
    <row r="59" spans="1:39" ht="24" customHeight="1">
      <c r="A59" s="78" t="s">
        <v>835</v>
      </c>
      <c r="B59" s="46"/>
      <c r="C59" s="46"/>
      <c r="D59" s="46"/>
      <c r="E59" s="46"/>
      <c r="F59" s="200"/>
      <c r="G59" s="200"/>
      <c r="H59" s="55"/>
      <c r="I59" s="261" t="s">
        <v>877</v>
      </c>
      <c r="J59" s="262"/>
      <c r="K59" s="262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69"/>
      <c r="AF59" s="200"/>
      <c r="AG59" s="200"/>
      <c r="AH59" s="200"/>
      <c r="AI59" s="263"/>
      <c r="AJ59" s="255"/>
      <c r="AK59" s="256"/>
      <c r="AL59" s="256"/>
      <c r="AM59" s="257"/>
    </row>
    <row r="60" spans="1:39" ht="24" customHeight="1">
      <c r="A60" s="78" t="s">
        <v>837</v>
      </c>
      <c r="B60" s="46"/>
      <c r="C60" s="46"/>
      <c r="D60" s="46"/>
      <c r="E60" s="46"/>
      <c r="F60" s="200"/>
      <c r="G60" s="200"/>
      <c r="H60" s="55"/>
      <c r="I60" s="261" t="s">
        <v>878</v>
      </c>
      <c r="J60" s="262"/>
      <c r="K60" s="262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69"/>
      <c r="AF60" s="200"/>
      <c r="AG60" s="200"/>
      <c r="AH60" s="200"/>
      <c r="AI60" s="263"/>
      <c r="AJ60" s="255"/>
      <c r="AK60" s="256"/>
      <c r="AL60" s="256"/>
      <c r="AM60" s="257"/>
    </row>
    <row r="61" spans="1:39" ht="24" customHeight="1">
      <c r="A61" s="78" t="s">
        <v>839</v>
      </c>
      <c r="B61" s="46"/>
      <c r="C61" s="46"/>
      <c r="D61" s="46"/>
      <c r="E61" s="46"/>
      <c r="F61" s="200"/>
      <c r="G61" s="200"/>
      <c r="H61" s="55"/>
      <c r="I61" s="261" t="s">
        <v>879</v>
      </c>
      <c r="J61" s="262"/>
      <c r="K61" s="262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69"/>
      <c r="AF61" s="200"/>
      <c r="AG61" s="200"/>
      <c r="AH61" s="200"/>
      <c r="AI61" s="263"/>
      <c r="AJ61" s="255"/>
      <c r="AK61" s="256"/>
      <c r="AL61" s="256"/>
      <c r="AM61" s="257"/>
    </row>
    <row r="62" spans="1:39" ht="24" customHeight="1">
      <c r="A62" s="78" t="s">
        <v>841</v>
      </c>
      <c r="B62" s="46"/>
      <c r="C62" s="46"/>
      <c r="D62" s="46"/>
      <c r="E62" s="46"/>
      <c r="F62" s="200"/>
      <c r="G62" s="200"/>
      <c r="H62" s="55"/>
      <c r="I62" s="267" t="s">
        <v>880</v>
      </c>
      <c r="J62" s="268"/>
      <c r="K62" s="268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69"/>
      <c r="AF62" s="200"/>
      <c r="AG62" s="200"/>
      <c r="AH62" s="200"/>
      <c r="AI62" s="263"/>
      <c r="AJ62" s="255"/>
      <c r="AK62" s="256"/>
      <c r="AL62" s="256"/>
      <c r="AM62" s="257"/>
    </row>
    <row r="63" spans="1:39" ht="24" customHeight="1">
      <c r="A63" s="78" t="s">
        <v>843</v>
      </c>
      <c r="B63" s="46"/>
      <c r="C63" s="46"/>
      <c r="D63" s="46"/>
      <c r="E63" s="46"/>
      <c r="F63" s="200"/>
      <c r="G63" s="200"/>
      <c r="H63" s="55"/>
      <c r="I63" s="267" t="s">
        <v>881</v>
      </c>
      <c r="J63" s="268"/>
      <c r="K63" s="268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69"/>
      <c r="AF63" s="200"/>
      <c r="AG63" s="200"/>
      <c r="AH63" s="200"/>
      <c r="AI63" s="263"/>
      <c r="AJ63" s="255" t="s">
        <v>847</v>
      </c>
      <c r="AK63" s="256"/>
      <c r="AL63" s="256"/>
      <c r="AM63" s="257"/>
    </row>
    <row r="64" spans="1:39" ht="24" customHeight="1">
      <c r="A64" s="78" t="s">
        <v>845</v>
      </c>
      <c r="B64" s="46"/>
      <c r="C64" s="46"/>
      <c r="D64" s="46"/>
      <c r="E64" s="46"/>
      <c r="F64" s="200"/>
      <c r="G64" s="200"/>
      <c r="H64" s="55"/>
      <c r="I64" s="267" t="s">
        <v>882</v>
      </c>
      <c r="J64" s="268"/>
      <c r="K64" s="268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69"/>
      <c r="AF64" s="200"/>
      <c r="AG64" s="200"/>
      <c r="AH64" s="200"/>
      <c r="AI64" s="263"/>
      <c r="AJ64" s="255"/>
      <c r="AK64" s="256"/>
      <c r="AL64" s="256"/>
      <c r="AM64" s="257"/>
    </row>
    <row r="65" spans="1:39" ht="24" customHeight="1">
      <c r="A65" s="78" t="s">
        <v>848</v>
      </c>
      <c r="B65" s="46"/>
      <c r="C65" s="46"/>
      <c r="D65" s="46"/>
      <c r="E65" s="46"/>
      <c r="F65" s="200"/>
      <c r="G65" s="200"/>
      <c r="H65" s="55"/>
      <c r="I65" s="267" t="s">
        <v>883</v>
      </c>
      <c r="J65" s="268"/>
      <c r="K65" s="268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69"/>
      <c r="AF65" s="200"/>
      <c r="AG65" s="200"/>
      <c r="AH65" s="200"/>
      <c r="AI65" s="263"/>
      <c r="AJ65" s="255"/>
      <c r="AK65" s="256"/>
      <c r="AL65" s="256"/>
      <c r="AM65" s="257"/>
    </row>
    <row r="66" spans="1:39" ht="24" customHeight="1" thickBot="1">
      <c r="A66" s="79" t="s">
        <v>850</v>
      </c>
      <c r="B66" s="59"/>
      <c r="C66" s="59"/>
      <c r="D66" s="59"/>
      <c r="E66" s="59"/>
      <c r="F66" s="265"/>
      <c r="G66" s="265"/>
      <c r="H66" s="62"/>
      <c r="I66" s="269" t="s">
        <v>884</v>
      </c>
      <c r="J66" s="270"/>
      <c r="K66" s="270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80"/>
      <c r="AF66" s="265"/>
      <c r="AG66" s="265"/>
      <c r="AH66" s="265"/>
      <c r="AI66" s="266"/>
      <c r="AJ66" s="264"/>
      <c r="AK66" s="265"/>
      <c r="AL66" s="265"/>
      <c r="AM66" s="266"/>
    </row>
    <row r="67" ht="12">
      <c r="A67" t="s">
        <v>905</v>
      </c>
    </row>
    <row r="68" spans="1:39" ht="12">
      <c r="A68" s="238" t="s">
        <v>870</v>
      </c>
      <c r="B68" s="238"/>
      <c r="C68" s="238"/>
      <c r="D68" s="237" t="str">
        <f>"Date: "&amp;TEXT(Dec!D$3,"dd mmmm yyyy")</f>
        <v>Date: 21 June 2014</v>
      </c>
      <c r="E68" s="237"/>
      <c r="F68" s="237"/>
      <c r="G68" s="237"/>
      <c r="H68" s="223" t="s">
        <v>813</v>
      </c>
      <c r="I68" s="223"/>
      <c r="J68" s="223"/>
      <c r="K68" s="223"/>
      <c r="L68" s="223"/>
      <c r="M68" s="223"/>
      <c r="N68" s="223"/>
      <c r="O68" s="223"/>
      <c r="P68" s="223" t="str">
        <f>"Venue: "&amp;Dec!$B$3</f>
        <v>Venue: Kingston</v>
      </c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 t="s">
        <v>856</v>
      </c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</row>
    <row r="69" spans="1:39" ht="12.75" thickBot="1">
      <c r="A69" s="237" t="str">
        <f>"Event: Men's Pole Vault - "&amp;Dec!B5</f>
        <v>Event: Men's Pole Vault - Epsom &amp; Ewell</v>
      </c>
      <c r="B69" s="237"/>
      <c r="C69" s="237"/>
      <c r="D69" s="237"/>
      <c r="E69" s="237"/>
      <c r="F69" s="237"/>
      <c r="G69" s="237"/>
      <c r="H69" s="223" t="s">
        <v>885</v>
      </c>
      <c r="I69" s="223"/>
      <c r="J69" s="223"/>
      <c r="K69" s="223"/>
      <c r="L69" s="223"/>
      <c r="M69" s="223"/>
      <c r="N69" s="223"/>
      <c r="O69" s="223"/>
      <c r="P69" s="223" t="s">
        <v>871</v>
      </c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 t="s">
        <v>815</v>
      </c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</row>
    <row r="70" spans="1:39" ht="15" customHeight="1">
      <c r="A70" s="225" t="s">
        <v>816</v>
      </c>
      <c r="B70" s="227" t="s">
        <v>817</v>
      </c>
      <c r="C70" s="219" t="s">
        <v>368</v>
      </c>
      <c r="D70" s="229"/>
      <c r="E70" s="229"/>
      <c r="F70" s="229"/>
      <c r="G70" s="220"/>
      <c r="H70" s="234" t="s">
        <v>872</v>
      </c>
      <c r="I70" s="236" t="s">
        <v>828</v>
      </c>
      <c r="J70" s="236"/>
      <c r="K70" s="236"/>
      <c r="L70" s="236" t="s">
        <v>828</v>
      </c>
      <c r="M70" s="236"/>
      <c r="N70" s="236"/>
      <c r="O70" s="236" t="s">
        <v>828</v>
      </c>
      <c r="P70" s="236"/>
      <c r="Q70" s="236"/>
      <c r="R70" s="236" t="s">
        <v>828</v>
      </c>
      <c r="S70" s="236"/>
      <c r="T70" s="236"/>
      <c r="U70" s="236" t="s">
        <v>828</v>
      </c>
      <c r="V70" s="236"/>
      <c r="W70" s="236"/>
      <c r="X70" s="236" t="s">
        <v>828</v>
      </c>
      <c r="Y70" s="236"/>
      <c r="Z70" s="236"/>
      <c r="AA70" s="236" t="s">
        <v>828</v>
      </c>
      <c r="AB70" s="236"/>
      <c r="AC70" s="236"/>
      <c r="AD70" s="236" t="s">
        <v>828</v>
      </c>
      <c r="AE70" s="236"/>
      <c r="AF70" s="236"/>
      <c r="AG70" s="236" t="s">
        <v>828</v>
      </c>
      <c r="AH70" s="236"/>
      <c r="AI70" s="236"/>
      <c r="AJ70" s="239" t="s">
        <v>873</v>
      </c>
      <c r="AK70" s="241" t="s">
        <v>874</v>
      </c>
      <c r="AL70" s="243" t="s">
        <v>875</v>
      </c>
      <c r="AM70" s="245" t="s">
        <v>827</v>
      </c>
    </row>
    <row r="71" spans="1:39" ht="15" customHeight="1">
      <c r="A71" s="226"/>
      <c r="B71" s="228"/>
      <c r="C71" s="230"/>
      <c r="D71" s="231"/>
      <c r="E71" s="231"/>
      <c r="F71" s="231"/>
      <c r="G71" s="232"/>
      <c r="H71" s="235"/>
      <c r="I71" s="47"/>
      <c r="J71" s="183"/>
      <c r="K71" s="183"/>
      <c r="L71" s="47"/>
      <c r="M71" s="183"/>
      <c r="N71" s="183"/>
      <c r="O71" s="47"/>
      <c r="P71" s="183"/>
      <c r="Q71" s="183"/>
      <c r="R71" s="47"/>
      <c r="S71" s="183"/>
      <c r="T71" s="183"/>
      <c r="U71" s="47"/>
      <c r="V71" s="183"/>
      <c r="W71" s="183"/>
      <c r="X71" s="47"/>
      <c r="Y71" s="183"/>
      <c r="Z71" s="183"/>
      <c r="AA71" s="47"/>
      <c r="AB71" s="183"/>
      <c r="AC71" s="183"/>
      <c r="AD71" s="47"/>
      <c r="AE71" s="183"/>
      <c r="AF71" s="183"/>
      <c r="AG71" s="47"/>
      <c r="AH71" s="183"/>
      <c r="AI71" s="183"/>
      <c r="AJ71" s="240"/>
      <c r="AK71" s="242"/>
      <c r="AL71" s="244"/>
      <c r="AM71" s="246"/>
    </row>
    <row r="72" spans="1:39" ht="15" customHeight="1">
      <c r="A72" s="226"/>
      <c r="B72" s="228"/>
      <c r="C72" s="221"/>
      <c r="D72" s="233"/>
      <c r="E72" s="233"/>
      <c r="F72" s="233"/>
      <c r="G72" s="222"/>
      <c r="H72" s="235"/>
      <c r="I72" s="47">
        <v>1</v>
      </c>
      <c r="J72" s="47">
        <v>2</v>
      </c>
      <c r="K72" s="47">
        <v>3</v>
      </c>
      <c r="L72" s="47">
        <v>1</v>
      </c>
      <c r="M72" s="47">
        <v>2</v>
      </c>
      <c r="N72" s="47">
        <v>3</v>
      </c>
      <c r="O72" s="47">
        <v>1</v>
      </c>
      <c r="P72" s="47">
        <v>2</v>
      </c>
      <c r="Q72" s="47">
        <v>3</v>
      </c>
      <c r="R72" s="47">
        <v>1</v>
      </c>
      <c r="S72" s="47">
        <v>2</v>
      </c>
      <c r="T72" s="47">
        <v>3</v>
      </c>
      <c r="U72" s="47">
        <v>1</v>
      </c>
      <c r="V72" s="47">
        <v>2</v>
      </c>
      <c r="W72" s="47">
        <v>3</v>
      </c>
      <c r="X72" s="47">
        <v>1</v>
      </c>
      <c r="Y72" s="47">
        <v>2</v>
      </c>
      <c r="Z72" s="47">
        <v>3</v>
      </c>
      <c r="AA72" s="47">
        <v>1</v>
      </c>
      <c r="AB72" s="47">
        <v>2</v>
      </c>
      <c r="AC72" s="47">
        <v>3</v>
      </c>
      <c r="AD72" s="47">
        <v>1</v>
      </c>
      <c r="AE72" s="47">
        <v>2</v>
      </c>
      <c r="AF72" s="47">
        <v>3</v>
      </c>
      <c r="AG72" s="47">
        <v>1</v>
      </c>
      <c r="AH72" s="47">
        <v>2</v>
      </c>
      <c r="AI72" s="47">
        <v>3</v>
      </c>
      <c r="AJ72" s="47" t="s">
        <v>828</v>
      </c>
      <c r="AK72" s="242"/>
      <c r="AL72" s="244"/>
      <c r="AM72" s="246"/>
    </row>
    <row r="73" spans="1:39" ht="24" customHeight="1">
      <c r="A73" s="70">
        <v>1</v>
      </c>
      <c r="B73" s="50" t="str">
        <f>IF(VALUE(MID(Dec!$B$1,2,1))="","",VLOOKUP(VALUE(MID(Dec!$B$1,2,1)),MPole_Vault,2))</f>
        <v>R</v>
      </c>
      <c r="C73" s="51" t="str">
        <f>IF(B73="","",IF(LEN(B73)=2,VLOOKUP(A67,MSB,VLOOKUP(LEFT(B73,1),Teams,6,FALSE),FALSE),VLOOKUP(A67,MSA,VLOOKUP(B73,Teams,6,FALSE),FALSE)))</f>
        <v>Jack Snook</v>
      </c>
      <c r="D73" s="52" t="str">
        <f aca="true" t="shared" si="2" ref="D73:D80">IF(B73="","",VLOOKUP(LEFT(B73,1),Teams,2,FALSE))</f>
        <v>Team Dorset</v>
      </c>
      <c r="E73" s="71"/>
      <c r="F73" s="71"/>
      <c r="G73" s="72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55"/>
    </row>
    <row r="74" spans="1:39" ht="24" customHeight="1">
      <c r="A74" s="70">
        <v>2</v>
      </c>
      <c r="B74" s="50" t="str">
        <f>IF(VALUE(MID(Dec!$B$1,2,1))="","",VLOOKUP(VALUE(MID(Dec!$B$1,2,1)),MPole_Vault,3))</f>
        <v>T</v>
      </c>
      <c r="C74" s="51" t="str">
        <f>IF(B74="","",IF(LEN(B74)=2,VLOOKUP(A67,MSB,VLOOKUP(LEFT(B74,1),Teams,6,FALSE),FALSE),VLOOKUP(A67,MSA,VLOOKUP(B74,Teams,6,FALSE),FALSE)))</f>
        <v>Lewis Church</v>
      </c>
      <c r="D74" s="52" t="str">
        <f t="shared" si="2"/>
        <v>Tonbridge</v>
      </c>
      <c r="E74" s="71"/>
      <c r="F74" s="71"/>
      <c r="G74" s="72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55"/>
    </row>
    <row r="75" spans="1:39" ht="24" customHeight="1">
      <c r="A75" s="70">
        <v>3</v>
      </c>
      <c r="B75" s="50" t="str">
        <f>IF(VALUE(MID(Dec!$B$1,2,1))="","",VLOOKUP(VALUE(MID(Dec!$B$1,2,1)),MPole_Vault,4))</f>
        <v>Y</v>
      </c>
      <c r="C75" s="51" t="str">
        <f>IF(B75="","",IF(LEN(B75)=2,VLOOKUP(A67,MSB,VLOOKUP(LEFT(B75,1),Teams,6,FALSE),FALSE),VLOOKUP(A67,MSA,VLOOKUP(B75,Teams,6,FALSE),FALSE)))</f>
        <v>Leigh Walker </v>
      </c>
      <c r="D75" s="52" t="str">
        <f t="shared" si="2"/>
        <v>Crawley</v>
      </c>
      <c r="E75" s="71"/>
      <c r="F75" s="71"/>
      <c r="G75" s="72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55"/>
    </row>
    <row r="76" spans="1:39" ht="24" customHeight="1">
      <c r="A76" s="70">
        <v>4</v>
      </c>
      <c r="B76" s="50" t="str">
        <f>IF(VALUE(MID(Dec!$B$1,2,1))="","",VLOOKUP(VALUE(MID(Dec!$B$1,2,1)),MPole_Vault,5))</f>
        <v>E</v>
      </c>
      <c r="C76" s="51" t="str">
        <f>IF(B76="","",IF(LEN(B76)=2,VLOOKUP(A67,MSB,VLOOKUP(LEFT(B76,1),Teams,6,FALSE),FALSE),VLOOKUP(A67,MSA,VLOOKUP(B76,Teams,6,FALSE),FALSE)))</f>
        <v>John Andrews</v>
      </c>
      <c r="D76" s="52" t="str">
        <f t="shared" si="2"/>
        <v>Epsom &amp; Ewell</v>
      </c>
      <c r="E76" s="71"/>
      <c r="F76" s="71"/>
      <c r="G76" s="72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55"/>
    </row>
    <row r="77" spans="1:39" ht="24" customHeight="1">
      <c r="A77" s="70">
        <v>5</v>
      </c>
      <c r="B77" s="50" t="str">
        <f>IF(VALUE(MID(Dec!$B$1,2,1))="","",VLOOKUP(VALUE(MID(Dec!$B$1,2,1)),MPole_Vault,6))</f>
        <v>RR</v>
      </c>
      <c r="C77" s="51" t="str">
        <f>IF(B77="","",IF(LEN(B77)=2,VLOOKUP(A67,MSB,VLOOKUP(LEFT(B77,1),Teams,6,FALSE),FALSE),VLOOKUP(A67,MSA,VLOOKUP(B77,Teams,6,FALSE),FALSE)))</f>
        <v>David Pearson</v>
      </c>
      <c r="D77" s="52" t="str">
        <f t="shared" si="2"/>
        <v>Team Dorset</v>
      </c>
      <c r="E77" s="71"/>
      <c r="F77" s="71"/>
      <c r="G77" s="72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55"/>
    </row>
    <row r="78" spans="1:39" ht="24" customHeight="1">
      <c r="A78" s="70">
        <v>6</v>
      </c>
      <c r="B78" s="50" t="str">
        <f>IF(VALUE(MID(Dec!$B$1,2,1))="","",VLOOKUP(VALUE(MID(Dec!$B$1,2,1)),MPole_Vault,7))</f>
        <v>TT</v>
      </c>
      <c r="C78" s="51" t="str">
        <f>IF(B78="","",IF(LEN(B78)=2,VLOOKUP(A67,MSB,VLOOKUP(LEFT(B78,1),Teams,6,FALSE),FALSE),VLOOKUP(A67,MSA,VLOOKUP(B78,Teams,6,FALSE),FALSE)))</f>
        <v>Harry Kendal</v>
      </c>
      <c r="D78" s="52" t="str">
        <f t="shared" si="2"/>
        <v>Tonbridge</v>
      </c>
      <c r="E78" s="71"/>
      <c r="F78" s="71"/>
      <c r="G78" s="72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55"/>
    </row>
    <row r="79" spans="1:39" ht="24" customHeight="1">
      <c r="A79" s="70">
        <v>7</v>
      </c>
      <c r="B79" s="50" t="str">
        <f>IF(VALUE(MID(Dec!$B$1,2,1))="","",VLOOKUP(VALUE(MID(Dec!$B$1,2,1)),MPole_Vault,8))</f>
        <v>YY</v>
      </c>
      <c r="C79" s="51" t="str">
        <f>IF(B79="","",IF(LEN(B79)=2,VLOOKUP(A67,MSB,VLOOKUP(LEFT(B79,1),Teams,6,FALSE),FALSE),VLOOKUP(A67,MSA,VLOOKUP(B79,Teams,6,FALSE),FALSE)))</f>
        <v>Jamie Moore </v>
      </c>
      <c r="D79" s="52" t="str">
        <f t="shared" si="2"/>
        <v>Crawley</v>
      </c>
      <c r="E79" s="71"/>
      <c r="F79" s="71"/>
      <c r="G79" s="72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5"/>
    </row>
    <row r="80" spans="1:39" ht="24" customHeight="1">
      <c r="A80" s="70">
        <v>8</v>
      </c>
      <c r="B80" s="50" t="str">
        <f>IF(VALUE(MID(Dec!$B$1,2,1))="","",VLOOKUP(VALUE(MID(Dec!$B$1,2,1)),MPole_Vault,9))</f>
        <v>EE</v>
      </c>
      <c r="C80" s="51" t="str">
        <f>IF(B80="","",IF(LEN(B80)=2,VLOOKUP(A67,MSB,VLOOKUP(LEFT(B80,1),Teams,6,FALSE),FALSE),VLOOKUP(A67,MSA,VLOOKUP(B80,Teams,6,FALSE),FALSE)))</f>
        <v>Brian Harlick</v>
      </c>
      <c r="D80" s="52" t="str">
        <f t="shared" si="2"/>
        <v>Epsom &amp; Ewell</v>
      </c>
      <c r="E80" s="71"/>
      <c r="F80" s="71"/>
      <c r="G80" s="72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55"/>
    </row>
    <row r="81" spans="1:39" ht="24" customHeight="1">
      <c r="A81" s="70">
        <v>9</v>
      </c>
      <c r="B81" s="50"/>
      <c r="C81" s="51"/>
      <c r="D81" s="52"/>
      <c r="E81" s="71"/>
      <c r="F81" s="71"/>
      <c r="G81" s="72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55"/>
    </row>
    <row r="82" spans="1:39" ht="24" customHeight="1">
      <c r="A82" s="70">
        <v>10</v>
      </c>
      <c r="B82" s="50"/>
      <c r="C82" s="51"/>
      <c r="D82" s="52"/>
      <c r="E82" s="71"/>
      <c r="F82" s="71"/>
      <c r="G82" s="72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55"/>
    </row>
    <row r="83" spans="1:39" ht="24" customHeight="1">
      <c r="A83" s="70">
        <v>11</v>
      </c>
      <c r="B83" s="50"/>
      <c r="C83" s="51"/>
      <c r="D83" s="52"/>
      <c r="E83" s="71"/>
      <c r="F83" s="71"/>
      <c r="G83" s="72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55"/>
    </row>
    <row r="84" spans="1:39" ht="24" customHeight="1">
      <c r="A84" s="70">
        <v>12</v>
      </c>
      <c r="B84" s="50"/>
      <c r="C84" s="51"/>
      <c r="D84" s="52"/>
      <c r="E84" s="71"/>
      <c r="F84" s="71"/>
      <c r="G84" s="72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55"/>
    </row>
    <row r="85" spans="1:39" ht="24" customHeight="1">
      <c r="A85" s="70">
        <v>13</v>
      </c>
      <c r="B85" s="50"/>
      <c r="C85" s="51"/>
      <c r="D85" s="52"/>
      <c r="E85" s="71"/>
      <c r="F85" s="71"/>
      <c r="G85" s="72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55"/>
    </row>
    <row r="86" spans="1:39" ht="24" customHeight="1">
      <c r="A86" s="70">
        <v>14</v>
      </c>
      <c r="B86" s="50"/>
      <c r="C86" s="51"/>
      <c r="D86" s="52"/>
      <c r="E86" s="71"/>
      <c r="F86" s="71"/>
      <c r="G86" s="72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55"/>
    </row>
    <row r="87" spans="1:39" ht="24" customHeight="1">
      <c r="A87" s="70">
        <v>15</v>
      </c>
      <c r="B87" s="50"/>
      <c r="C87" s="51"/>
      <c r="D87" s="52"/>
      <c r="E87" s="71"/>
      <c r="F87" s="71"/>
      <c r="G87" s="72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55"/>
    </row>
    <row r="88" spans="1:39" ht="24" customHeight="1" thickBot="1">
      <c r="A88" s="73">
        <v>16</v>
      </c>
      <c r="B88" s="58"/>
      <c r="C88" s="51"/>
      <c r="D88" s="52"/>
      <c r="E88" s="71"/>
      <c r="F88" s="71"/>
      <c r="G88" s="7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62"/>
    </row>
    <row r="89" spans="4:7" ht="4.5" customHeight="1" thickBot="1">
      <c r="D89" s="247"/>
      <c r="E89" s="247"/>
      <c r="F89" s="247"/>
      <c r="G89" s="247"/>
    </row>
    <row r="90" spans="1:39" ht="12">
      <c r="A90" s="248" t="s">
        <v>829</v>
      </c>
      <c r="B90" s="249"/>
      <c r="C90" s="249"/>
      <c r="D90" s="249"/>
      <c r="E90" s="249"/>
      <c r="F90" s="249"/>
      <c r="G90" s="249"/>
      <c r="H90" s="250"/>
      <c r="I90" s="74" t="s">
        <v>876</v>
      </c>
      <c r="J90" s="194" t="s">
        <v>829</v>
      </c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51"/>
      <c r="AJ90" s="252" t="s">
        <v>831</v>
      </c>
      <c r="AK90" s="253"/>
      <c r="AL90" s="253"/>
      <c r="AM90" s="254"/>
    </row>
    <row r="91" spans="1:39" ht="12">
      <c r="A91" s="75" t="s">
        <v>832</v>
      </c>
      <c r="B91" s="76" t="s">
        <v>833</v>
      </c>
      <c r="C91" s="76" t="s">
        <v>970</v>
      </c>
      <c r="D91" s="76" t="s">
        <v>971</v>
      </c>
      <c r="E91" s="258" t="s">
        <v>828</v>
      </c>
      <c r="F91" s="258"/>
      <c r="G91" s="258"/>
      <c r="H91" s="77" t="s">
        <v>834</v>
      </c>
      <c r="I91" s="259" t="s">
        <v>832</v>
      </c>
      <c r="J91" s="258"/>
      <c r="K91" s="258"/>
      <c r="L91" s="258" t="s">
        <v>833</v>
      </c>
      <c r="M91" s="258"/>
      <c r="N91" s="258"/>
      <c r="O91" s="258" t="s">
        <v>970</v>
      </c>
      <c r="P91" s="258"/>
      <c r="Q91" s="258"/>
      <c r="R91" s="258"/>
      <c r="S91" s="258"/>
      <c r="T91" s="258"/>
      <c r="U91" s="258"/>
      <c r="V91" s="258"/>
      <c r="W91" s="258"/>
      <c r="X91" s="258"/>
      <c r="Y91" s="258" t="s">
        <v>971</v>
      </c>
      <c r="Z91" s="258"/>
      <c r="AA91" s="258"/>
      <c r="AB91" s="258"/>
      <c r="AC91" s="258"/>
      <c r="AD91" s="258"/>
      <c r="AE91" s="258" t="s">
        <v>828</v>
      </c>
      <c r="AF91" s="258"/>
      <c r="AG91" s="258"/>
      <c r="AH91" s="258" t="s">
        <v>834</v>
      </c>
      <c r="AI91" s="260"/>
      <c r="AJ91" s="255"/>
      <c r="AK91" s="256"/>
      <c r="AL91" s="256"/>
      <c r="AM91" s="257"/>
    </row>
    <row r="92" spans="1:39" ht="24" customHeight="1">
      <c r="A92" s="78" t="s">
        <v>835</v>
      </c>
      <c r="B92" s="46"/>
      <c r="C92" s="46"/>
      <c r="D92" s="46"/>
      <c r="E92" s="46"/>
      <c r="F92" s="200"/>
      <c r="G92" s="200"/>
      <c r="H92" s="55"/>
      <c r="I92" s="261" t="s">
        <v>877</v>
      </c>
      <c r="J92" s="262"/>
      <c r="K92" s="262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69"/>
      <c r="AF92" s="200"/>
      <c r="AG92" s="200"/>
      <c r="AH92" s="200"/>
      <c r="AI92" s="263"/>
      <c r="AJ92" s="255"/>
      <c r="AK92" s="256"/>
      <c r="AL92" s="256"/>
      <c r="AM92" s="257"/>
    </row>
    <row r="93" spans="1:39" ht="24" customHeight="1">
      <c r="A93" s="78" t="s">
        <v>837</v>
      </c>
      <c r="B93" s="46"/>
      <c r="C93" s="46"/>
      <c r="D93" s="46"/>
      <c r="E93" s="46"/>
      <c r="F93" s="200"/>
      <c r="G93" s="200"/>
      <c r="H93" s="55"/>
      <c r="I93" s="261" t="s">
        <v>878</v>
      </c>
      <c r="J93" s="262"/>
      <c r="K93" s="262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69"/>
      <c r="AF93" s="200"/>
      <c r="AG93" s="200"/>
      <c r="AH93" s="200"/>
      <c r="AI93" s="263"/>
      <c r="AJ93" s="255"/>
      <c r="AK93" s="256"/>
      <c r="AL93" s="256"/>
      <c r="AM93" s="257"/>
    </row>
    <row r="94" spans="1:39" ht="24" customHeight="1">
      <c r="A94" s="78" t="s">
        <v>839</v>
      </c>
      <c r="B94" s="46"/>
      <c r="C94" s="46"/>
      <c r="D94" s="46"/>
      <c r="E94" s="46"/>
      <c r="F94" s="200"/>
      <c r="G94" s="200"/>
      <c r="H94" s="55"/>
      <c r="I94" s="261" t="s">
        <v>879</v>
      </c>
      <c r="J94" s="262"/>
      <c r="K94" s="262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69"/>
      <c r="AF94" s="200"/>
      <c r="AG94" s="200"/>
      <c r="AH94" s="200"/>
      <c r="AI94" s="263"/>
      <c r="AJ94" s="255"/>
      <c r="AK94" s="256"/>
      <c r="AL94" s="256"/>
      <c r="AM94" s="257"/>
    </row>
    <row r="95" spans="1:39" ht="24" customHeight="1">
      <c r="A95" s="78" t="s">
        <v>841</v>
      </c>
      <c r="B95" s="46"/>
      <c r="C95" s="46"/>
      <c r="D95" s="46"/>
      <c r="E95" s="46"/>
      <c r="F95" s="200"/>
      <c r="G95" s="200"/>
      <c r="H95" s="55"/>
      <c r="I95" s="267" t="s">
        <v>880</v>
      </c>
      <c r="J95" s="268"/>
      <c r="K95" s="268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69"/>
      <c r="AF95" s="200"/>
      <c r="AG95" s="200"/>
      <c r="AH95" s="200"/>
      <c r="AI95" s="263"/>
      <c r="AJ95" s="255"/>
      <c r="AK95" s="256"/>
      <c r="AL95" s="256"/>
      <c r="AM95" s="257"/>
    </row>
    <row r="96" spans="1:39" ht="24" customHeight="1">
      <c r="A96" s="78" t="s">
        <v>843</v>
      </c>
      <c r="B96" s="46"/>
      <c r="C96" s="46"/>
      <c r="D96" s="46"/>
      <c r="E96" s="46"/>
      <c r="F96" s="200"/>
      <c r="G96" s="200"/>
      <c r="H96" s="55"/>
      <c r="I96" s="267" t="s">
        <v>881</v>
      </c>
      <c r="J96" s="268"/>
      <c r="K96" s="268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69"/>
      <c r="AF96" s="200"/>
      <c r="AG96" s="200"/>
      <c r="AH96" s="200"/>
      <c r="AI96" s="263"/>
      <c r="AJ96" s="255" t="s">
        <v>847</v>
      </c>
      <c r="AK96" s="256"/>
      <c r="AL96" s="256"/>
      <c r="AM96" s="257"/>
    </row>
    <row r="97" spans="1:39" ht="24" customHeight="1">
      <c r="A97" s="78" t="s">
        <v>845</v>
      </c>
      <c r="B97" s="46"/>
      <c r="C97" s="46"/>
      <c r="D97" s="46"/>
      <c r="E97" s="46"/>
      <c r="F97" s="200"/>
      <c r="G97" s="200"/>
      <c r="H97" s="55"/>
      <c r="I97" s="267" t="s">
        <v>882</v>
      </c>
      <c r="J97" s="268"/>
      <c r="K97" s="268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69"/>
      <c r="AF97" s="200"/>
      <c r="AG97" s="200"/>
      <c r="AH97" s="200"/>
      <c r="AI97" s="263"/>
      <c r="AJ97" s="255"/>
      <c r="AK97" s="256"/>
      <c r="AL97" s="256"/>
      <c r="AM97" s="257"/>
    </row>
    <row r="98" spans="1:39" ht="24" customHeight="1">
      <c r="A98" s="78" t="s">
        <v>848</v>
      </c>
      <c r="B98" s="46"/>
      <c r="C98" s="46"/>
      <c r="D98" s="46"/>
      <c r="E98" s="46"/>
      <c r="F98" s="200"/>
      <c r="G98" s="200"/>
      <c r="H98" s="55"/>
      <c r="I98" s="267" t="s">
        <v>883</v>
      </c>
      <c r="J98" s="268"/>
      <c r="K98" s="268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69"/>
      <c r="AF98" s="200"/>
      <c r="AG98" s="200"/>
      <c r="AH98" s="200"/>
      <c r="AI98" s="263"/>
      <c r="AJ98" s="255"/>
      <c r="AK98" s="256"/>
      <c r="AL98" s="256"/>
      <c r="AM98" s="257"/>
    </row>
    <row r="99" spans="1:39" ht="24" customHeight="1" thickBot="1">
      <c r="A99" s="79" t="s">
        <v>850</v>
      </c>
      <c r="B99" s="59"/>
      <c r="C99" s="59"/>
      <c r="D99" s="59"/>
      <c r="E99" s="59"/>
      <c r="F99" s="265"/>
      <c r="G99" s="265"/>
      <c r="H99" s="62"/>
      <c r="I99" s="269" t="s">
        <v>884</v>
      </c>
      <c r="J99" s="270"/>
      <c r="K99" s="270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80"/>
      <c r="AF99" s="265"/>
      <c r="AG99" s="265"/>
      <c r="AH99" s="265"/>
      <c r="AI99" s="266"/>
      <c r="AJ99" s="264"/>
      <c r="AK99" s="265"/>
      <c r="AL99" s="265"/>
      <c r="AM99" s="266"/>
    </row>
    <row r="100" ht="12">
      <c r="A100" t="s">
        <v>899</v>
      </c>
    </row>
    <row r="101" spans="1:39" ht="12">
      <c r="A101" s="238" t="s">
        <v>870</v>
      </c>
      <c r="B101" s="238"/>
      <c r="C101" s="238"/>
      <c r="D101" s="237" t="str">
        <f>"Date: "&amp;TEXT(Dec!D$3,"dd mmmm yyyy")</f>
        <v>Date: 21 June 2014</v>
      </c>
      <c r="E101" s="237"/>
      <c r="F101" s="237"/>
      <c r="G101" s="237"/>
      <c r="H101" s="223" t="s">
        <v>813</v>
      </c>
      <c r="I101" s="223"/>
      <c r="J101" s="223"/>
      <c r="K101" s="223"/>
      <c r="L101" s="223"/>
      <c r="M101" s="223"/>
      <c r="N101" s="223"/>
      <c r="O101" s="223"/>
      <c r="P101" s="223" t="str">
        <f>"Venue: "&amp;Dec!$B$3</f>
        <v>Venue: Kingston</v>
      </c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 t="s">
        <v>856</v>
      </c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</row>
    <row r="102" spans="1:39" ht="12.75" thickBot="1">
      <c r="A102" s="237" t="str">
        <f>"Event: Women's High Jump - "&amp;Dec!B8</f>
        <v>Event: Women's High Jump - Tonbridge</v>
      </c>
      <c r="B102" s="237"/>
      <c r="C102" s="237"/>
      <c r="D102" s="237"/>
      <c r="E102" s="237"/>
      <c r="F102" s="237"/>
      <c r="G102" s="237"/>
      <c r="H102" s="223" t="s">
        <v>869</v>
      </c>
      <c r="I102" s="223"/>
      <c r="J102" s="223"/>
      <c r="K102" s="223"/>
      <c r="L102" s="223"/>
      <c r="M102" s="223"/>
      <c r="N102" s="223"/>
      <c r="O102" s="223"/>
      <c r="P102" s="223" t="s">
        <v>871</v>
      </c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 t="s">
        <v>815</v>
      </c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</row>
    <row r="103" spans="1:39" ht="15" customHeight="1">
      <c r="A103" s="225" t="s">
        <v>816</v>
      </c>
      <c r="B103" s="227" t="s">
        <v>817</v>
      </c>
      <c r="C103" s="219" t="s">
        <v>369</v>
      </c>
      <c r="D103" s="229"/>
      <c r="E103" s="229"/>
      <c r="F103" s="229"/>
      <c r="G103" s="220"/>
      <c r="H103" s="234" t="s">
        <v>872</v>
      </c>
      <c r="I103" s="236" t="s">
        <v>828</v>
      </c>
      <c r="J103" s="236"/>
      <c r="K103" s="236"/>
      <c r="L103" s="236" t="s">
        <v>828</v>
      </c>
      <c r="M103" s="236"/>
      <c r="N103" s="236"/>
      <c r="O103" s="236" t="s">
        <v>828</v>
      </c>
      <c r="P103" s="236"/>
      <c r="Q103" s="236"/>
      <c r="R103" s="236" t="s">
        <v>828</v>
      </c>
      <c r="S103" s="236"/>
      <c r="T103" s="236"/>
      <c r="U103" s="236" t="s">
        <v>828</v>
      </c>
      <c r="V103" s="236"/>
      <c r="W103" s="236"/>
      <c r="X103" s="236" t="s">
        <v>828</v>
      </c>
      <c r="Y103" s="236"/>
      <c r="Z103" s="236"/>
      <c r="AA103" s="236" t="s">
        <v>828</v>
      </c>
      <c r="AB103" s="236"/>
      <c r="AC103" s="236"/>
      <c r="AD103" s="236" t="s">
        <v>828</v>
      </c>
      <c r="AE103" s="236"/>
      <c r="AF103" s="236"/>
      <c r="AG103" s="236" t="s">
        <v>828</v>
      </c>
      <c r="AH103" s="236"/>
      <c r="AI103" s="236"/>
      <c r="AJ103" s="239" t="s">
        <v>873</v>
      </c>
      <c r="AK103" s="241" t="s">
        <v>874</v>
      </c>
      <c r="AL103" s="243" t="s">
        <v>875</v>
      </c>
      <c r="AM103" s="245" t="s">
        <v>827</v>
      </c>
    </row>
    <row r="104" spans="1:39" ht="15" customHeight="1">
      <c r="A104" s="226"/>
      <c r="B104" s="228"/>
      <c r="C104" s="230"/>
      <c r="D104" s="231"/>
      <c r="E104" s="231"/>
      <c r="F104" s="231"/>
      <c r="G104" s="232"/>
      <c r="H104" s="235"/>
      <c r="I104" s="47"/>
      <c r="J104" s="183"/>
      <c r="K104" s="183"/>
      <c r="L104" s="47"/>
      <c r="M104" s="183"/>
      <c r="N104" s="183"/>
      <c r="O104" s="47"/>
      <c r="P104" s="183"/>
      <c r="Q104" s="183"/>
      <c r="R104" s="47"/>
      <c r="S104" s="183"/>
      <c r="T104" s="183"/>
      <c r="U104" s="47"/>
      <c r="V104" s="183"/>
      <c r="W104" s="183"/>
      <c r="X104" s="47"/>
      <c r="Y104" s="183"/>
      <c r="Z104" s="183"/>
      <c r="AA104" s="47"/>
      <c r="AB104" s="183"/>
      <c r="AC104" s="183"/>
      <c r="AD104" s="47"/>
      <c r="AE104" s="183"/>
      <c r="AF104" s="183"/>
      <c r="AG104" s="47"/>
      <c r="AH104" s="183"/>
      <c r="AI104" s="183"/>
      <c r="AJ104" s="240"/>
      <c r="AK104" s="242"/>
      <c r="AL104" s="244"/>
      <c r="AM104" s="246"/>
    </row>
    <row r="105" spans="1:39" ht="15" customHeight="1">
      <c r="A105" s="226"/>
      <c r="B105" s="228"/>
      <c r="C105" s="221"/>
      <c r="D105" s="233"/>
      <c r="E105" s="233"/>
      <c r="F105" s="233"/>
      <c r="G105" s="222"/>
      <c r="H105" s="235"/>
      <c r="I105" s="47">
        <v>1</v>
      </c>
      <c r="J105" s="47">
        <v>2</v>
      </c>
      <c r="K105" s="47">
        <v>3</v>
      </c>
      <c r="L105" s="47">
        <v>1</v>
      </c>
      <c r="M105" s="47">
        <v>2</v>
      </c>
      <c r="N105" s="47">
        <v>3</v>
      </c>
      <c r="O105" s="47">
        <v>1</v>
      </c>
      <c r="P105" s="47">
        <v>2</v>
      </c>
      <c r="Q105" s="47">
        <v>3</v>
      </c>
      <c r="R105" s="47">
        <v>1</v>
      </c>
      <c r="S105" s="47">
        <v>2</v>
      </c>
      <c r="T105" s="47">
        <v>3</v>
      </c>
      <c r="U105" s="47">
        <v>1</v>
      </c>
      <c r="V105" s="47">
        <v>2</v>
      </c>
      <c r="W105" s="47">
        <v>3</v>
      </c>
      <c r="X105" s="47">
        <v>1</v>
      </c>
      <c r="Y105" s="47">
        <v>2</v>
      </c>
      <c r="Z105" s="47">
        <v>3</v>
      </c>
      <c r="AA105" s="47">
        <v>1</v>
      </c>
      <c r="AB105" s="47">
        <v>2</v>
      </c>
      <c r="AC105" s="47">
        <v>3</v>
      </c>
      <c r="AD105" s="47">
        <v>1</v>
      </c>
      <c r="AE105" s="47">
        <v>2</v>
      </c>
      <c r="AF105" s="47">
        <v>3</v>
      </c>
      <c r="AG105" s="47">
        <v>1</v>
      </c>
      <c r="AH105" s="47">
        <v>2</v>
      </c>
      <c r="AI105" s="47">
        <v>3</v>
      </c>
      <c r="AJ105" s="47" t="s">
        <v>828</v>
      </c>
      <c r="AK105" s="242"/>
      <c r="AL105" s="244"/>
      <c r="AM105" s="246"/>
    </row>
    <row r="106" spans="1:39" ht="24" customHeight="1">
      <c r="A106" s="70">
        <v>1</v>
      </c>
      <c r="B106" s="50" t="str">
        <f>IF(VALUE(MID(Dec!$B$1,2,1))="","",VLOOKUP(VALUE(MID(Dec!$B$1,2,1)),WHigh_Jump,2))</f>
        <v>E</v>
      </c>
      <c r="C106" s="51" t="str">
        <f>IF(B106="","",IF(LEN(B106)=2,VLOOKUP(A100,WSB,VLOOKUP(LEFT(B106,1),Teams,6,FALSE),FALSE),VLOOKUP(A100,WSA,VLOOKUP(B106,Teams,6,FALSE),FALSE)))</f>
        <v>Julia Machin</v>
      </c>
      <c r="D106" s="52" t="str">
        <f aca="true" t="shared" si="3" ref="D106:D113">IF(B106="","",VLOOKUP(LEFT(B106,1),Teams,2,FALSE))</f>
        <v>Epsom &amp; Ewell</v>
      </c>
      <c r="E106" s="71"/>
      <c r="F106" s="71"/>
      <c r="G106" s="72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55"/>
    </row>
    <row r="107" spans="1:39" ht="24" customHeight="1">
      <c r="A107" s="70">
        <v>2</v>
      </c>
      <c r="B107" s="50" t="str">
        <f>IF(VALUE(MID(Dec!$B$1,2,1))="","",VLOOKUP(VALUE(MID(Dec!$B$1,2,1)),WHigh_Jump,3))</f>
        <v>R</v>
      </c>
      <c r="C107" s="51" t="str">
        <f>IF(B107="","",IF(LEN(B107)=2,VLOOKUP(A100,WSB,VLOOKUP(LEFT(B107,1),Teams,6,FALSE),FALSE),VLOOKUP(A100,WSA,VLOOKUP(B107,Teams,6,FALSE),FALSE)))</f>
        <v>Charlotte Offer</v>
      </c>
      <c r="D107" s="52" t="str">
        <f t="shared" si="3"/>
        <v>Team Dorset</v>
      </c>
      <c r="E107" s="71"/>
      <c r="F107" s="71"/>
      <c r="G107" s="72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55"/>
    </row>
    <row r="108" spans="1:39" ht="24" customHeight="1">
      <c r="A108" s="70">
        <v>3</v>
      </c>
      <c r="B108" s="50" t="str">
        <f>IF(VALUE(MID(Dec!$B$1,2,1))="","",VLOOKUP(VALUE(MID(Dec!$B$1,2,1)),WHigh_Jump,4))</f>
        <v>T</v>
      </c>
      <c r="C108" s="51" t="str">
        <f>IF(B108="","",IF(LEN(B108)=2,VLOOKUP(A100,WSB,VLOOKUP(LEFT(B108,1),Teams,6,FALSE),FALSE),VLOOKUP(A100,WSA,VLOOKUP(B108,Teams,6,FALSE),FALSE)))</f>
        <v>Joanne Ware</v>
      </c>
      <c r="D108" s="52" t="str">
        <f t="shared" si="3"/>
        <v>Tonbridge</v>
      </c>
      <c r="E108" s="71"/>
      <c r="F108" s="71"/>
      <c r="G108" s="72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55"/>
    </row>
    <row r="109" spans="1:39" ht="24" customHeight="1">
      <c r="A109" s="70">
        <v>4</v>
      </c>
      <c r="B109" s="50" t="str">
        <f>IF(VALUE(MID(Dec!$B$1,2,1))="","",VLOOKUP(VALUE(MID(Dec!$B$1,2,1)),WHigh_Jump,5))</f>
        <v>Y</v>
      </c>
      <c r="C109" s="51" t="str">
        <f>IF(B109="","",IF(LEN(B109)=2,VLOOKUP(A100,WSB,VLOOKUP(LEFT(B109,1),Teams,6,FALSE),FALSE),VLOOKUP(A100,WSA,VLOOKUP(B109,Teams,6,FALSE),FALSE)))</f>
        <v>Jo Rowland</v>
      </c>
      <c r="D109" s="52" t="str">
        <f t="shared" si="3"/>
        <v>Crawley</v>
      </c>
      <c r="E109" s="71"/>
      <c r="F109" s="71"/>
      <c r="G109" s="72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55"/>
    </row>
    <row r="110" spans="1:39" ht="24" customHeight="1">
      <c r="A110" s="70">
        <v>5</v>
      </c>
      <c r="B110" s="50" t="str">
        <f>IF(VALUE(MID(Dec!$B$1,2,1))="","",VLOOKUP(VALUE(MID(Dec!$B$1,2,1)),WHigh_Jump,6))</f>
        <v>EE</v>
      </c>
      <c r="C110" s="51" t="str">
        <f>IF(B110="","",IF(LEN(B110)=2,VLOOKUP(A100,WSB,VLOOKUP(LEFT(B110,1),Teams,6,FALSE),FALSE),VLOOKUP(A100,WSA,VLOOKUP(B110,Teams,6,FALSE),FALSE)))</f>
        <v>Lizzie Thompson</v>
      </c>
      <c r="D110" s="52" t="str">
        <f t="shared" si="3"/>
        <v>Epsom &amp; Ewell</v>
      </c>
      <c r="E110" s="71"/>
      <c r="F110" s="71"/>
      <c r="G110" s="72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55"/>
    </row>
    <row r="111" spans="1:39" ht="24" customHeight="1">
      <c r="A111" s="70">
        <v>6</v>
      </c>
      <c r="B111" s="50" t="str">
        <f>IF(VALUE(MID(Dec!$B$1,2,1))="","",VLOOKUP(VALUE(MID(Dec!$B$1,2,1)),WHigh_Jump,7))</f>
        <v>RR</v>
      </c>
      <c r="C111" s="51" t="str">
        <f>IF(B111="","",IF(LEN(B111)=2,VLOOKUP(A100,WSB,VLOOKUP(LEFT(B111,1),Teams,6,FALSE),FALSE),VLOOKUP(A100,WSA,VLOOKUP(B111,Teams,6,FALSE),FALSE)))</f>
        <v>Hanna Westhenry</v>
      </c>
      <c r="D111" s="52" t="str">
        <f t="shared" si="3"/>
        <v>Team Dorset</v>
      </c>
      <c r="E111" s="71"/>
      <c r="F111" s="71"/>
      <c r="G111" s="72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55"/>
    </row>
    <row r="112" spans="1:39" ht="24" customHeight="1">
      <c r="A112" s="70">
        <v>7</v>
      </c>
      <c r="B112" s="50" t="str">
        <f>IF(VALUE(MID(Dec!$B$1,2,1))="","",VLOOKUP(VALUE(MID(Dec!$B$1,2,1)),WHigh_Jump,8))</f>
        <v>TT</v>
      </c>
      <c r="C112" s="51" t="str">
        <f>IF(B112="","",IF(LEN(B112)=2,VLOOKUP(A100,WSB,VLOOKUP(LEFT(B112,1),Teams,6,FALSE),FALSE),VLOOKUP(A100,WSA,VLOOKUP(B112,Teams,6,FALSE),FALSE)))</f>
        <v>Laura Baliman</v>
      </c>
      <c r="D112" s="52" t="str">
        <f t="shared" si="3"/>
        <v>Tonbridge</v>
      </c>
      <c r="E112" s="71"/>
      <c r="F112" s="71"/>
      <c r="G112" s="72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55"/>
    </row>
    <row r="113" spans="1:39" ht="24" customHeight="1">
      <c r="A113" s="70">
        <v>8</v>
      </c>
      <c r="B113" s="50" t="str">
        <f>IF(VALUE(MID(Dec!$B$1,2,1))="","",VLOOKUP(VALUE(MID(Dec!$B$1,2,1)),WHigh_Jump,9))</f>
        <v>YY</v>
      </c>
      <c r="C113" s="51" t="str">
        <f>IF(B113="","",IF(LEN(B113)=2,VLOOKUP(A100,WSB,VLOOKUP(LEFT(B113,1),Teams,6,FALSE),FALSE),VLOOKUP(A100,WSA,VLOOKUP(B113,Teams,6,FALSE),FALSE)))</f>
        <v>Becky Owen</v>
      </c>
      <c r="D113" s="52" t="str">
        <f t="shared" si="3"/>
        <v>Crawley</v>
      </c>
      <c r="E113" s="71"/>
      <c r="F113" s="71"/>
      <c r="G113" s="72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55"/>
    </row>
    <row r="114" spans="1:39" ht="24" customHeight="1">
      <c r="A114" s="70">
        <v>9</v>
      </c>
      <c r="B114" s="50"/>
      <c r="C114" s="51"/>
      <c r="D114" s="52"/>
      <c r="E114" s="71"/>
      <c r="F114" s="71"/>
      <c r="G114" s="72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55"/>
    </row>
    <row r="115" spans="1:39" ht="24" customHeight="1">
      <c r="A115" s="70">
        <v>10</v>
      </c>
      <c r="B115" s="50"/>
      <c r="C115" s="51"/>
      <c r="D115" s="52"/>
      <c r="E115" s="71"/>
      <c r="F115" s="71"/>
      <c r="G115" s="72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55"/>
    </row>
    <row r="116" spans="1:39" ht="24" customHeight="1">
      <c r="A116" s="70">
        <v>11</v>
      </c>
      <c r="B116" s="50"/>
      <c r="C116" s="51"/>
      <c r="D116" s="52"/>
      <c r="E116" s="71"/>
      <c r="F116" s="71"/>
      <c r="G116" s="72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55"/>
    </row>
    <row r="117" spans="1:39" ht="24" customHeight="1">
      <c r="A117" s="70">
        <v>12</v>
      </c>
      <c r="B117" s="50"/>
      <c r="C117" s="51"/>
      <c r="D117" s="52"/>
      <c r="E117" s="71"/>
      <c r="F117" s="71"/>
      <c r="G117" s="72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55"/>
    </row>
    <row r="118" spans="1:39" ht="24" customHeight="1">
      <c r="A118" s="70">
        <v>13</v>
      </c>
      <c r="B118" s="50"/>
      <c r="C118" s="51"/>
      <c r="D118" s="52"/>
      <c r="E118" s="71"/>
      <c r="F118" s="71"/>
      <c r="G118" s="72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55"/>
    </row>
    <row r="119" spans="1:39" ht="24" customHeight="1">
      <c r="A119" s="70">
        <v>14</v>
      </c>
      <c r="B119" s="50"/>
      <c r="C119" s="51"/>
      <c r="D119" s="52"/>
      <c r="E119" s="71"/>
      <c r="F119" s="71"/>
      <c r="G119" s="72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55"/>
    </row>
    <row r="120" spans="1:39" ht="24" customHeight="1">
      <c r="A120" s="70">
        <v>15</v>
      </c>
      <c r="B120" s="50"/>
      <c r="C120" s="51"/>
      <c r="D120" s="52"/>
      <c r="E120" s="71"/>
      <c r="F120" s="71"/>
      <c r="G120" s="72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55"/>
    </row>
    <row r="121" spans="1:39" ht="24" customHeight="1" thickBot="1">
      <c r="A121" s="73">
        <v>16</v>
      </c>
      <c r="B121" s="58"/>
      <c r="C121" s="51"/>
      <c r="D121" s="52"/>
      <c r="E121" s="71"/>
      <c r="F121" s="71"/>
      <c r="G121" s="7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62"/>
    </row>
    <row r="122" spans="4:7" ht="4.5" customHeight="1" thickBot="1">
      <c r="D122" s="247"/>
      <c r="E122" s="247"/>
      <c r="F122" s="247"/>
      <c r="G122" s="247"/>
    </row>
    <row r="123" spans="1:39" ht="12">
      <c r="A123" s="248" t="s">
        <v>829</v>
      </c>
      <c r="B123" s="249"/>
      <c r="C123" s="249"/>
      <c r="D123" s="249"/>
      <c r="E123" s="249"/>
      <c r="F123" s="249"/>
      <c r="G123" s="249"/>
      <c r="H123" s="250"/>
      <c r="I123" s="74" t="s">
        <v>876</v>
      </c>
      <c r="J123" s="194" t="s">
        <v>829</v>
      </c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51"/>
      <c r="AJ123" s="252" t="s">
        <v>831</v>
      </c>
      <c r="AK123" s="253"/>
      <c r="AL123" s="253"/>
      <c r="AM123" s="254"/>
    </row>
    <row r="124" spans="1:39" ht="12">
      <c r="A124" s="75" t="s">
        <v>832</v>
      </c>
      <c r="B124" s="76" t="s">
        <v>833</v>
      </c>
      <c r="C124" s="76" t="s">
        <v>970</v>
      </c>
      <c r="D124" s="76" t="s">
        <v>971</v>
      </c>
      <c r="E124" s="258" t="s">
        <v>828</v>
      </c>
      <c r="F124" s="258"/>
      <c r="G124" s="258"/>
      <c r="H124" s="77" t="s">
        <v>834</v>
      </c>
      <c r="I124" s="259" t="s">
        <v>832</v>
      </c>
      <c r="J124" s="258"/>
      <c r="K124" s="258"/>
      <c r="L124" s="258" t="s">
        <v>833</v>
      </c>
      <c r="M124" s="258"/>
      <c r="N124" s="258"/>
      <c r="O124" s="258" t="s">
        <v>970</v>
      </c>
      <c r="P124" s="258"/>
      <c r="Q124" s="258"/>
      <c r="R124" s="258"/>
      <c r="S124" s="258"/>
      <c r="T124" s="258"/>
      <c r="U124" s="258"/>
      <c r="V124" s="258"/>
      <c r="W124" s="258"/>
      <c r="X124" s="258"/>
      <c r="Y124" s="258" t="s">
        <v>971</v>
      </c>
      <c r="Z124" s="258"/>
      <c r="AA124" s="258"/>
      <c r="AB124" s="258"/>
      <c r="AC124" s="258"/>
      <c r="AD124" s="258"/>
      <c r="AE124" s="258" t="s">
        <v>828</v>
      </c>
      <c r="AF124" s="258"/>
      <c r="AG124" s="258"/>
      <c r="AH124" s="258" t="s">
        <v>834</v>
      </c>
      <c r="AI124" s="260"/>
      <c r="AJ124" s="255"/>
      <c r="AK124" s="256"/>
      <c r="AL124" s="256"/>
      <c r="AM124" s="257"/>
    </row>
    <row r="125" spans="1:39" ht="24" customHeight="1">
      <c r="A125" s="78" t="s">
        <v>835</v>
      </c>
      <c r="B125" s="46"/>
      <c r="C125" s="46"/>
      <c r="D125" s="46"/>
      <c r="E125" s="46"/>
      <c r="F125" s="200"/>
      <c r="G125" s="200"/>
      <c r="H125" s="55"/>
      <c r="I125" s="261" t="s">
        <v>877</v>
      </c>
      <c r="J125" s="262"/>
      <c r="K125" s="262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69"/>
      <c r="AF125" s="200"/>
      <c r="AG125" s="200"/>
      <c r="AH125" s="200"/>
      <c r="AI125" s="263"/>
      <c r="AJ125" s="255"/>
      <c r="AK125" s="256"/>
      <c r="AL125" s="256"/>
      <c r="AM125" s="257"/>
    </row>
    <row r="126" spans="1:39" ht="24" customHeight="1">
      <c r="A126" s="78" t="s">
        <v>837</v>
      </c>
      <c r="B126" s="46"/>
      <c r="C126" s="46"/>
      <c r="D126" s="46"/>
      <c r="E126" s="46"/>
      <c r="F126" s="200"/>
      <c r="G126" s="200"/>
      <c r="H126" s="55"/>
      <c r="I126" s="261" t="s">
        <v>878</v>
      </c>
      <c r="J126" s="262"/>
      <c r="K126" s="262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69"/>
      <c r="AF126" s="200"/>
      <c r="AG126" s="200"/>
      <c r="AH126" s="200"/>
      <c r="AI126" s="263"/>
      <c r="AJ126" s="255"/>
      <c r="AK126" s="256"/>
      <c r="AL126" s="256"/>
      <c r="AM126" s="257"/>
    </row>
    <row r="127" spans="1:39" ht="24" customHeight="1">
      <c r="A127" s="78" t="s">
        <v>839</v>
      </c>
      <c r="B127" s="46"/>
      <c r="C127" s="46"/>
      <c r="D127" s="46"/>
      <c r="E127" s="46"/>
      <c r="F127" s="200"/>
      <c r="G127" s="200"/>
      <c r="H127" s="55"/>
      <c r="I127" s="261" t="s">
        <v>879</v>
      </c>
      <c r="J127" s="262"/>
      <c r="K127" s="262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69"/>
      <c r="AF127" s="200"/>
      <c r="AG127" s="200"/>
      <c r="AH127" s="200"/>
      <c r="AI127" s="263"/>
      <c r="AJ127" s="255"/>
      <c r="AK127" s="256"/>
      <c r="AL127" s="256"/>
      <c r="AM127" s="257"/>
    </row>
    <row r="128" spans="1:39" ht="24" customHeight="1">
      <c r="A128" s="78" t="s">
        <v>841</v>
      </c>
      <c r="B128" s="46"/>
      <c r="C128" s="46"/>
      <c r="D128" s="46"/>
      <c r="E128" s="46"/>
      <c r="F128" s="200"/>
      <c r="G128" s="200"/>
      <c r="H128" s="55"/>
      <c r="I128" s="267" t="s">
        <v>880</v>
      </c>
      <c r="J128" s="268"/>
      <c r="K128" s="268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69"/>
      <c r="AF128" s="200"/>
      <c r="AG128" s="200"/>
      <c r="AH128" s="200"/>
      <c r="AI128" s="263"/>
      <c r="AJ128" s="255"/>
      <c r="AK128" s="256"/>
      <c r="AL128" s="256"/>
      <c r="AM128" s="257"/>
    </row>
    <row r="129" spans="1:39" ht="24" customHeight="1">
      <c r="A129" s="78" t="s">
        <v>843</v>
      </c>
      <c r="B129" s="46"/>
      <c r="C129" s="46"/>
      <c r="D129" s="46"/>
      <c r="E129" s="46"/>
      <c r="F129" s="200"/>
      <c r="G129" s="200"/>
      <c r="H129" s="55"/>
      <c r="I129" s="267" t="s">
        <v>881</v>
      </c>
      <c r="J129" s="268"/>
      <c r="K129" s="268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69"/>
      <c r="AF129" s="200"/>
      <c r="AG129" s="200"/>
      <c r="AH129" s="200"/>
      <c r="AI129" s="263"/>
      <c r="AJ129" s="255" t="s">
        <v>847</v>
      </c>
      <c r="AK129" s="256"/>
      <c r="AL129" s="256"/>
      <c r="AM129" s="257"/>
    </row>
    <row r="130" spans="1:39" ht="24" customHeight="1">
      <c r="A130" s="78" t="s">
        <v>845</v>
      </c>
      <c r="B130" s="46"/>
      <c r="C130" s="46"/>
      <c r="D130" s="46"/>
      <c r="E130" s="46"/>
      <c r="F130" s="200"/>
      <c r="G130" s="200"/>
      <c r="H130" s="55"/>
      <c r="I130" s="267" t="s">
        <v>882</v>
      </c>
      <c r="J130" s="268"/>
      <c r="K130" s="268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69"/>
      <c r="AF130" s="200"/>
      <c r="AG130" s="200"/>
      <c r="AH130" s="200"/>
      <c r="AI130" s="263"/>
      <c r="AJ130" s="255"/>
      <c r="AK130" s="256"/>
      <c r="AL130" s="256"/>
      <c r="AM130" s="257"/>
    </row>
    <row r="131" spans="1:39" ht="24" customHeight="1">
      <c r="A131" s="78" t="s">
        <v>848</v>
      </c>
      <c r="B131" s="46"/>
      <c r="C131" s="46"/>
      <c r="D131" s="46"/>
      <c r="E131" s="46"/>
      <c r="F131" s="200"/>
      <c r="G131" s="200"/>
      <c r="H131" s="55"/>
      <c r="I131" s="267" t="s">
        <v>883</v>
      </c>
      <c r="J131" s="268"/>
      <c r="K131" s="268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69"/>
      <c r="AF131" s="200"/>
      <c r="AG131" s="200"/>
      <c r="AH131" s="200"/>
      <c r="AI131" s="263"/>
      <c r="AJ131" s="255"/>
      <c r="AK131" s="256"/>
      <c r="AL131" s="256"/>
      <c r="AM131" s="257"/>
    </row>
    <row r="132" spans="1:39" ht="24" customHeight="1" thickBot="1">
      <c r="A132" s="79" t="s">
        <v>850</v>
      </c>
      <c r="B132" s="59"/>
      <c r="C132" s="59"/>
      <c r="D132" s="59"/>
      <c r="E132" s="59"/>
      <c r="F132" s="265"/>
      <c r="G132" s="265"/>
      <c r="H132" s="62"/>
      <c r="I132" s="269" t="s">
        <v>884</v>
      </c>
      <c r="J132" s="270"/>
      <c r="K132" s="270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80"/>
      <c r="AF132" s="265"/>
      <c r="AG132" s="265"/>
      <c r="AH132" s="265"/>
      <c r="AI132" s="266"/>
      <c r="AJ132" s="264"/>
      <c r="AK132" s="265"/>
      <c r="AL132" s="265"/>
      <c r="AM132" s="266"/>
    </row>
  </sheetData>
  <sheetProtection sheet="1" objects="1" scenarios="1" selectLockedCells="1" selectUnlockedCells="1"/>
  <mergeCells count="420">
    <mergeCell ref="AH132:AI132"/>
    <mergeCell ref="AJ132:AM132"/>
    <mergeCell ref="F132:G132"/>
    <mergeCell ref="I132:K132"/>
    <mergeCell ref="L132:N132"/>
    <mergeCell ref="O132:X132"/>
    <mergeCell ref="Y132:AD132"/>
    <mergeCell ref="AF132:AG132"/>
    <mergeCell ref="F131:G131"/>
    <mergeCell ref="I131:K131"/>
    <mergeCell ref="L131:N131"/>
    <mergeCell ref="O131:X131"/>
    <mergeCell ref="F130:G130"/>
    <mergeCell ref="I130:K130"/>
    <mergeCell ref="L130:N130"/>
    <mergeCell ref="O130:X130"/>
    <mergeCell ref="Y129:AD129"/>
    <mergeCell ref="AF129:AG129"/>
    <mergeCell ref="AH129:AI129"/>
    <mergeCell ref="AJ129:AM131"/>
    <mergeCell ref="Y130:AD130"/>
    <mergeCell ref="AF130:AG130"/>
    <mergeCell ref="AH130:AI130"/>
    <mergeCell ref="Y131:AD131"/>
    <mergeCell ref="AF131:AG131"/>
    <mergeCell ref="AH131:AI131"/>
    <mergeCell ref="O126:X126"/>
    <mergeCell ref="F129:G129"/>
    <mergeCell ref="I129:K129"/>
    <mergeCell ref="L129:N129"/>
    <mergeCell ref="O129:X129"/>
    <mergeCell ref="F128:G128"/>
    <mergeCell ref="I128:K128"/>
    <mergeCell ref="L128:N128"/>
    <mergeCell ref="O128:X128"/>
    <mergeCell ref="AH128:AI128"/>
    <mergeCell ref="Y126:AD126"/>
    <mergeCell ref="AF126:AG126"/>
    <mergeCell ref="F127:G127"/>
    <mergeCell ref="I127:K127"/>
    <mergeCell ref="L127:N127"/>
    <mergeCell ref="O127:X127"/>
    <mergeCell ref="F126:G126"/>
    <mergeCell ref="I126:K126"/>
    <mergeCell ref="L126:N126"/>
    <mergeCell ref="L125:N125"/>
    <mergeCell ref="O125:X125"/>
    <mergeCell ref="Y125:AD125"/>
    <mergeCell ref="AH126:AI126"/>
    <mergeCell ref="AJ126:AM128"/>
    <mergeCell ref="Y127:AD127"/>
    <mergeCell ref="AF127:AG127"/>
    <mergeCell ref="AH127:AI127"/>
    <mergeCell ref="Y128:AD128"/>
    <mergeCell ref="AF128:AG128"/>
    <mergeCell ref="D122:G122"/>
    <mergeCell ref="A123:H123"/>
    <mergeCell ref="J123:AI123"/>
    <mergeCell ref="AF125:AG125"/>
    <mergeCell ref="AH125:AI125"/>
    <mergeCell ref="J104:K104"/>
    <mergeCell ref="M104:N104"/>
    <mergeCell ref="P104:Q104"/>
    <mergeCell ref="S104:T104"/>
    <mergeCell ref="V104:W104"/>
    <mergeCell ref="AJ123:AM125"/>
    <mergeCell ref="E124:G124"/>
    <mergeCell ref="I124:K124"/>
    <mergeCell ref="L124:N124"/>
    <mergeCell ref="O124:X124"/>
    <mergeCell ref="Y124:AD124"/>
    <mergeCell ref="F125:G125"/>
    <mergeCell ref="I125:K125"/>
    <mergeCell ref="AE124:AG124"/>
    <mergeCell ref="AH124:AI124"/>
    <mergeCell ref="AM103:AM105"/>
    <mergeCell ref="A103:A105"/>
    <mergeCell ref="B103:B105"/>
    <mergeCell ref="C103:G105"/>
    <mergeCell ref="AD103:AF103"/>
    <mergeCell ref="R103:T103"/>
    <mergeCell ref="U103:W103"/>
    <mergeCell ref="X103:Z103"/>
    <mergeCell ref="AG103:AI103"/>
    <mergeCell ref="AJ103:AJ104"/>
    <mergeCell ref="AE104:AF104"/>
    <mergeCell ref="AL103:AL105"/>
    <mergeCell ref="AK103:AK105"/>
    <mergeCell ref="AH104:AI104"/>
    <mergeCell ref="Y104:Z104"/>
    <mergeCell ref="AB104:AC104"/>
    <mergeCell ref="AA103:AC103"/>
    <mergeCell ref="H103:H105"/>
    <mergeCell ref="I103:K103"/>
    <mergeCell ref="L103:N103"/>
    <mergeCell ref="O103:Q103"/>
    <mergeCell ref="A102:G102"/>
    <mergeCell ref="H102:O102"/>
    <mergeCell ref="P102:Z102"/>
    <mergeCell ref="A101:C101"/>
    <mergeCell ref="D101:G101"/>
    <mergeCell ref="H101:O101"/>
    <mergeCell ref="AJ99:AM99"/>
    <mergeCell ref="O99:X99"/>
    <mergeCell ref="Y99:AD99"/>
    <mergeCell ref="AA102:AM102"/>
    <mergeCell ref="P101:Z101"/>
    <mergeCell ref="F99:G99"/>
    <mergeCell ref="I99:K99"/>
    <mergeCell ref="L99:N99"/>
    <mergeCell ref="AA101:AM101"/>
    <mergeCell ref="AF99:AG99"/>
    <mergeCell ref="AH99:AI99"/>
    <mergeCell ref="AF95:AG95"/>
    <mergeCell ref="L97:N97"/>
    <mergeCell ref="O97:X97"/>
    <mergeCell ref="AF98:AG98"/>
    <mergeCell ref="F98:G98"/>
    <mergeCell ref="I98:K98"/>
    <mergeCell ref="L98:N98"/>
    <mergeCell ref="O98:X98"/>
    <mergeCell ref="F97:G97"/>
    <mergeCell ref="F95:G95"/>
    <mergeCell ref="AJ96:AM98"/>
    <mergeCell ref="Y97:AD97"/>
    <mergeCell ref="AF97:AG97"/>
    <mergeCell ref="Y98:AD98"/>
    <mergeCell ref="I97:K97"/>
    <mergeCell ref="AH97:AI97"/>
    <mergeCell ref="AH98:AI98"/>
    <mergeCell ref="AF96:AG96"/>
    <mergeCell ref="AH96:AI96"/>
    <mergeCell ref="I95:K95"/>
    <mergeCell ref="L95:N95"/>
    <mergeCell ref="O95:X95"/>
    <mergeCell ref="Y96:AD96"/>
    <mergeCell ref="Y93:AD93"/>
    <mergeCell ref="F96:G96"/>
    <mergeCell ref="I96:K96"/>
    <mergeCell ref="L96:N96"/>
    <mergeCell ref="O96:X96"/>
    <mergeCell ref="AF93:AG93"/>
    <mergeCell ref="AH95:AI95"/>
    <mergeCell ref="F94:G94"/>
    <mergeCell ref="I94:K94"/>
    <mergeCell ref="L94:N94"/>
    <mergeCell ref="O94:X94"/>
    <mergeCell ref="F93:G93"/>
    <mergeCell ref="I93:K93"/>
    <mergeCell ref="L93:N93"/>
    <mergeCell ref="O93:X93"/>
    <mergeCell ref="S71:T71"/>
    <mergeCell ref="V71:W71"/>
    <mergeCell ref="Y71:Z71"/>
    <mergeCell ref="Y92:AD92"/>
    <mergeCell ref="AH93:AI93"/>
    <mergeCell ref="AJ93:AM95"/>
    <mergeCell ref="Y94:AD94"/>
    <mergeCell ref="AF94:AG94"/>
    <mergeCell ref="AH94:AI94"/>
    <mergeCell ref="Y95:AD95"/>
    <mergeCell ref="AE71:AF71"/>
    <mergeCell ref="AB71:AC71"/>
    <mergeCell ref="L92:N92"/>
    <mergeCell ref="AG70:AI70"/>
    <mergeCell ref="AJ70:AJ71"/>
    <mergeCell ref="AK70:AK72"/>
    <mergeCell ref="AH71:AI71"/>
    <mergeCell ref="AJ90:AM92"/>
    <mergeCell ref="Y91:AD91"/>
    <mergeCell ref="AH92:AI92"/>
    <mergeCell ref="F92:G92"/>
    <mergeCell ref="I92:K92"/>
    <mergeCell ref="D89:G89"/>
    <mergeCell ref="A90:H90"/>
    <mergeCell ref="J90:AI90"/>
    <mergeCell ref="AF92:AG92"/>
    <mergeCell ref="E91:G91"/>
    <mergeCell ref="I91:K91"/>
    <mergeCell ref="L91:N91"/>
    <mergeCell ref="O91:X91"/>
    <mergeCell ref="AE91:AG91"/>
    <mergeCell ref="AH91:AI91"/>
    <mergeCell ref="O92:X92"/>
    <mergeCell ref="AL70:AL72"/>
    <mergeCell ref="AM70:AM72"/>
    <mergeCell ref="A70:A72"/>
    <mergeCell ref="B70:B72"/>
    <mergeCell ref="C70:G72"/>
    <mergeCell ref="AD70:AF70"/>
    <mergeCell ref="R70:T70"/>
    <mergeCell ref="U70:W70"/>
    <mergeCell ref="X70:Z70"/>
    <mergeCell ref="AA70:AC70"/>
    <mergeCell ref="H70:H72"/>
    <mergeCell ref="I70:K70"/>
    <mergeCell ref="L70:N70"/>
    <mergeCell ref="O70:Q70"/>
    <mergeCell ref="J71:K71"/>
    <mergeCell ref="M71:N71"/>
    <mergeCell ref="P71:Q71"/>
    <mergeCell ref="H69:O69"/>
    <mergeCell ref="P69:Z69"/>
    <mergeCell ref="AA68:AM68"/>
    <mergeCell ref="AF66:AG66"/>
    <mergeCell ref="AH66:AI66"/>
    <mergeCell ref="A68:C68"/>
    <mergeCell ref="D68:G68"/>
    <mergeCell ref="H68:O68"/>
    <mergeCell ref="AJ66:AM66"/>
    <mergeCell ref="I65:K65"/>
    <mergeCell ref="L65:N65"/>
    <mergeCell ref="AA69:AM69"/>
    <mergeCell ref="P68:Z68"/>
    <mergeCell ref="F66:G66"/>
    <mergeCell ref="I66:K66"/>
    <mergeCell ref="L66:N66"/>
    <mergeCell ref="O66:X66"/>
    <mergeCell ref="Y66:AD66"/>
    <mergeCell ref="A69:G69"/>
    <mergeCell ref="AH65:AI65"/>
    <mergeCell ref="F62:G62"/>
    <mergeCell ref="I62:K62"/>
    <mergeCell ref="L62:N62"/>
    <mergeCell ref="O62:X62"/>
    <mergeCell ref="Y63:AD63"/>
    <mergeCell ref="F64:G64"/>
    <mergeCell ref="I64:K64"/>
    <mergeCell ref="L64:N64"/>
    <mergeCell ref="O64:X64"/>
    <mergeCell ref="AH62:AI62"/>
    <mergeCell ref="O60:X60"/>
    <mergeCell ref="AF62:AG62"/>
    <mergeCell ref="Y60:AD60"/>
    <mergeCell ref="AF60:AG60"/>
    <mergeCell ref="AH64:AI64"/>
    <mergeCell ref="Y64:AD64"/>
    <mergeCell ref="AH63:AI63"/>
    <mergeCell ref="Y62:AD62"/>
    <mergeCell ref="F63:G63"/>
    <mergeCell ref="I63:K63"/>
    <mergeCell ref="L63:N63"/>
    <mergeCell ref="O63:X63"/>
    <mergeCell ref="O65:X65"/>
    <mergeCell ref="AF63:AG63"/>
    <mergeCell ref="AF64:AG64"/>
    <mergeCell ref="Y65:AD65"/>
    <mergeCell ref="AF65:AG65"/>
    <mergeCell ref="F65:G65"/>
    <mergeCell ref="AJ63:AM65"/>
    <mergeCell ref="F61:G61"/>
    <mergeCell ref="I61:K61"/>
    <mergeCell ref="L61:N61"/>
    <mergeCell ref="O61:X61"/>
    <mergeCell ref="AJ60:AM62"/>
    <mergeCell ref="Y61:AD61"/>
    <mergeCell ref="AF61:AG61"/>
    <mergeCell ref="AH61:AI61"/>
    <mergeCell ref="L60:N60"/>
    <mergeCell ref="AH38:AI38"/>
    <mergeCell ref="L59:N59"/>
    <mergeCell ref="O59:X59"/>
    <mergeCell ref="Y59:AD59"/>
    <mergeCell ref="AH60:AI60"/>
    <mergeCell ref="P38:Q38"/>
    <mergeCell ref="S38:T38"/>
    <mergeCell ref="D56:G56"/>
    <mergeCell ref="A57:H57"/>
    <mergeCell ref="J57:AI57"/>
    <mergeCell ref="AF59:AG59"/>
    <mergeCell ref="AH59:AI59"/>
    <mergeCell ref="I59:K59"/>
    <mergeCell ref="AH58:AI58"/>
    <mergeCell ref="F60:G60"/>
    <mergeCell ref="I60:K60"/>
    <mergeCell ref="AE58:AG58"/>
    <mergeCell ref="AJ57:AM59"/>
    <mergeCell ref="E58:G58"/>
    <mergeCell ref="I58:K58"/>
    <mergeCell ref="L58:N58"/>
    <mergeCell ref="O58:X58"/>
    <mergeCell ref="Y58:AD58"/>
    <mergeCell ref="F59:G59"/>
    <mergeCell ref="AJ37:AJ38"/>
    <mergeCell ref="AK37:AK39"/>
    <mergeCell ref="H36:O36"/>
    <mergeCell ref="AE38:AF38"/>
    <mergeCell ref="AL37:AL39"/>
    <mergeCell ref="AM37:AM39"/>
    <mergeCell ref="J38:K38"/>
    <mergeCell ref="M38:N38"/>
    <mergeCell ref="X37:Z37"/>
    <mergeCell ref="AG37:AI37"/>
    <mergeCell ref="A37:A39"/>
    <mergeCell ref="B37:B39"/>
    <mergeCell ref="C37:G39"/>
    <mergeCell ref="AD37:AF37"/>
    <mergeCell ref="R37:T37"/>
    <mergeCell ref="U37:W37"/>
    <mergeCell ref="AB38:AC38"/>
    <mergeCell ref="V38:W38"/>
    <mergeCell ref="Y38:Z38"/>
    <mergeCell ref="AF33:AG33"/>
    <mergeCell ref="AA37:AC37"/>
    <mergeCell ref="A35:C35"/>
    <mergeCell ref="D35:G35"/>
    <mergeCell ref="H35:O35"/>
    <mergeCell ref="H37:H39"/>
    <mergeCell ref="I37:K37"/>
    <mergeCell ref="L37:N37"/>
    <mergeCell ref="O37:Q37"/>
    <mergeCell ref="A36:G36"/>
    <mergeCell ref="AH31:AI31"/>
    <mergeCell ref="P36:Z36"/>
    <mergeCell ref="AA36:AM36"/>
    <mergeCell ref="P35:Z35"/>
    <mergeCell ref="F33:G33"/>
    <mergeCell ref="I33:K33"/>
    <mergeCell ref="L33:N33"/>
    <mergeCell ref="O33:X33"/>
    <mergeCell ref="Y33:AD33"/>
    <mergeCell ref="AA35:AM35"/>
    <mergeCell ref="I31:K31"/>
    <mergeCell ref="L31:N31"/>
    <mergeCell ref="O31:X31"/>
    <mergeCell ref="AF32:AG32"/>
    <mergeCell ref="F32:G32"/>
    <mergeCell ref="I32:K32"/>
    <mergeCell ref="L32:N32"/>
    <mergeCell ref="F29:G29"/>
    <mergeCell ref="I29:K29"/>
    <mergeCell ref="L29:N29"/>
    <mergeCell ref="O29:X29"/>
    <mergeCell ref="Y30:AD30"/>
    <mergeCell ref="AJ30:AM32"/>
    <mergeCell ref="Y31:AD31"/>
    <mergeCell ref="AF31:AG31"/>
    <mergeCell ref="Y32:AD32"/>
    <mergeCell ref="F31:G31"/>
    <mergeCell ref="AJ33:AM33"/>
    <mergeCell ref="AH32:AI32"/>
    <mergeCell ref="F30:G30"/>
    <mergeCell ref="I30:K30"/>
    <mergeCell ref="L30:N30"/>
    <mergeCell ref="O30:X30"/>
    <mergeCell ref="O32:X32"/>
    <mergeCell ref="AF30:AG30"/>
    <mergeCell ref="AH30:AI30"/>
    <mergeCell ref="AH33:AI33"/>
    <mergeCell ref="Y27:AD27"/>
    <mergeCell ref="AF27:AG27"/>
    <mergeCell ref="F28:G28"/>
    <mergeCell ref="I28:K28"/>
    <mergeCell ref="L28:N28"/>
    <mergeCell ref="O28:X28"/>
    <mergeCell ref="F27:G27"/>
    <mergeCell ref="I27:K27"/>
    <mergeCell ref="L27:N27"/>
    <mergeCell ref="O27:X27"/>
    <mergeCell ref="AF26:AG26"/>
    <mergeCell ref="AH26:AI26"/>
    <mergeCell ref="AH27:AI27"/>
    <mergeCell ref="AJ27:AM29"/>
    <mergeCell ref="Y28:AD28"/>
    <mergeCell ref="AF28:AG28"/>
    <mergeCell ref="AH28:AI28"/>
    <mergeCell ref="Y29:AD29"/>
    <mergeCell ref="AF29:AG29"/>
    <mergeCell ref="AH29:AI29"/>
    <mergeCell ref="L25:N25"/>
    <mergeCell ref="O25:X25"/>
    <mergeCell ref="Y25:AD25"/>
    <mergeCell ref="AE25:AG25"/>
    <mergeCell ref="AH25:AI25"/>
    <mergeCell ref="F26:G26"/>
    <mergeCell ref="I26:K26"/>
    <mergeCell ref="L26:N26"/>
    <mergeCell ref="O26:X26"/>
    <mergeCell ref="Y26:AD26"/>
    <mergeCell ref="AK4:AK6"/>
    <mergeCell ref="AH5:AI5"/>
    <mergeCell ref="AL4:AL6"/>
    <mergeCell ref="AM4:AM6"/>
    <mergeCell ref="D23:G23"/>
    <mergeCell ref="A24:H24"/>
    <mergeCell ref="J24:AI24"/>
    <mergeCell ref="AJ24:AM26"/>
    <mergeCell ref="E25:G25"/>
    <mergeCell ref="I25:K25"/>
    <mergeCell ref="V5:W5"/>
    <mergeCell ref="Y5:Z5"/>
    <mergeCell ref="U4:W4"/>
    <mergeCell ref="X4:Z4"/>
    <mergeCell ref="J5:K5"/>
    <mergeCell ref="M5:N5"/>
    <mergeCell ref="P5:Q5"/>
    <mergeCell ref="S5:T5"/>
    <mergeCell ref="O4:Q4"/>
    <mergeCell ref="R4:T4"/>
    <mergeCell ref="AA4:AC4"/>
    <mergeCell ref="AD4:AF4"/>
    <mergeCell ref="AG4:AI4"/>
    <mergeCell ref="AJ4:AJ5"/>
    <mergeCell ref="AB5:AC5"/>
    <mergeCell ref="AE5:AF5"/>
    <mergeCell ref="AA2:AM2"/>
    <mergeCell ref="A3:G3"/>
    <mergeCell ref="H3:O3"/>
    <mergeCell ref="P3:Z3"/>
    <mergeCell ref="AA3:AM3"/>
    <mergeCell ref="A2:C2"/>
    <mergeCell ref="D2:G2"/>
    <mergeCell ref="H2:O2"/>
    <mergeCell ref="P2:Z2"/>
    <mergeCell ref="A4:A6"/>
    <mergeCell ref="B4:B6"/>
    <mergeCell ref="C4:G6"/>
    <mergeCell ref="H4:H6"/>
    <mergeCell ref="I4:K4"/>
    <mergeCell ref="L4:N4"/>
  </mergeCells>
  <printOptions/>
  <pageMargins left="0.18" right="0.17" top="0.17" bottom="0.16" header="0.5" footer="0.5"/>
  <pageSetup horizontalDpi="600" verticalDpi="600" orientation="landscape" paperSize="9" scale="77"/>
  <rowBreaks count="3" manualBreakCount="3">
    <brk id="33" max="255" man="1"/>
    <brk id="66" max="255" man="1"/>
    <brk id="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182"/>
  <sheetViews>
    <sheetView workbookViewId="0" topLeftCell="A115">
      <selection activeCell="G154" sqref="G154"/>
    </sheetView>
  </sheetViews>
  <sheetFormatPr defaultColWidth="8.8515625" defaultRowHeight="12.75"/>
  <cols>
    <col min="1" max="1" width="5.421875" style="0" bestFit="1" customWidth="1"/>
    <col min="2" max="2" width="5.7109375" style="0" customWidth="1"/>
    <col min="3" max="3" width="32.00390625" style="0" customWidth="1"/>
    <col min="4" max="4" width="25.421875" style="0" customWidth="1"/>
    <col min="5" max="5" width="0.13671875" style="0" hidden="1" customWidth="1"/>
  </cols>
  <sheetData>
    <row r="1" spans="1:5" ht="12.75">
      <c r="A1" s="82" t="s">
        <v>886</v>
      </c>
      <c r="C1" s="83" t="s">
        <v>887</v>
      </c>
      <c r="D1" s="86">
        <v>0.5104166666666666</v>
      </c>
      <c r="E1" s="81" t="s">
        <v>859</v>
      </c>
    </row>
    <row r="2" spans="1:4" ht="15">
      <c r="A2" s="84">
        <v>1</v>
      </c>
      <c r="B2" s="50" t="str">
        <f>IF(VALUE(MID(Dec!$B$1,2,1))="","",VLOOKUP(VALUE(MID(Dec!$B$1,2,1)),W400mH,2))</f>
        <v>Y</v>
      </c>
      <c r="C2" s="51" t="str">
        <f>IF(B2="","",IF(LEN(B2)=2,VLOOKUP(E1,WSB,VLOOKUP(LEFT(B2,1),Teams,6,FALSE),FALSE),VLOOKUP(E1,WSA,VLOOKUP(B2,Teams,6,FALSE),FALSE)))</f>
        <v>Rebecca Baines</v>
      </c>
      <c r="D2" s="51" t="str">
        <f aca="true" t="shared" si="0" ref="D2:D9">IF(B2="","",VLOOKUP(LEFT(B2,1),Teams,2,FALSE))</f>
        <v>Crawley</v>
      </c>
    </row>
    <row r="3" spans="1:4" ht="15">
      <c r="A3" s="84">
        <v>2</v>
      </c>
      <c r="B3" s="50" t="str">
        <f>IF(VALUE(MID(Dec!$B$1,2,1))="","",VLOOKUP(VALUE(MID(Dec!$B$1,2,1)),W400mH,3))</f>
        <v>T</v>
      </c>
      <c r="C3" s="51">
        <f>IF(B3="","",IF(LEN(B3)=2,VLOOKUP(E1,WSB,VLOOKUP(LEFT(B3,1),Teams,6,FALSE),FALSE),VLOOKUP(E1,WSA,VLOOKUP(B3,Teams,6,FALSE),FALSE)))</f>
        <v>0</v>
      </c>
      <c r="D3" s="51" t="str">
        <f t="shared" si="0"/>
        <v>Tonbridge</v>
      </c>
    </row>
    <row r="4" spans="1:4" ht="15">
      <c r="A4" s="84">
        <v>3</v>
      </c>
      <c r="B4" s="50" t="str">
        <f>IF(VALUE(MID(Dec!$B$1,2,1))="","",VLOOKUP(VALUE(MID(Dec!$B$1,2,1)),W400mH,4))</f>
        <v>E</v>
      </c>
      <c r="C4" s="51" t="str">
        <f>IF(B4="","",IF(LEN(B4)=2,VLOOKUP(E1,WSB,VLOOKUP(LEFT(B4,1),Teams,6,FALSE),FALSE),VLOOKUP(E1,WSA,VLOOKUP(B4,Teams,6,FALSE),FALSE)))</f>
        <v>Julia Machin</v>
      </c>
      <c r="D4" s="51" t="str">
        <f t="shared" si="0"/>
        <v>Epsom &amp; Ewell</v>
      </c>
    </row>
    <row r="5" spans="1:4" ht="15">
      <c r="A5" s="84">
        <v>4</v>
      </c>
      <c r="B5" s="50" t="str">
        <f>IF(VALUE(MID(Dec!$B$1,2,1))="","",VLOOKUP(VALUE(MID(Dec!$B$1,2,1)),W400mH,5))</f>
        <v>R</v>
      </c>
      <c r="C5" s="51">
        <f>IF(B5="","",IF(LEN(B5)=2,VLOOKUP(E1,WSB,VLOOKUP(LEFT(B5,1),Teams,6,FALSE),FALSE),VLOOKUP(E1,WSA,VLOOKUP(B5,Teams,6,FALSE),FALSE)))</f>
        <v>0</v>
      </c>
      <c r="D5" s="51" t="str">
        <f t="shared" si="0"/>
        <v>Team Dorset</v>
      </c>
    </row>
    <row r="6" spans="1:4" ht="15">
      <c r="A6" s="84">
        <v>5</v>
      </c>
      <c r="B6" s="50" t="str">
        <f>IF(VALUE(MID(Dec!$B$1,2,1))="","",VLOOKUP(VALUE(MID(Dec!$B$1,2,1)),W400mH,6))</f>
        <v>YY</v>
      </c>
      <c r="C6" s="51" t="str">
        <f>IF(B6="","",IF(LEN(B6)=2,VLOOKUP(E1,WSB,VLOOKUP(LEFT(B6,1),Teams,6,FALSE),FALSE),VLOOKUP(E1,WSA,VLOOKUP(B6,Teams,6,FALSE),FALSE)))</f>
        <v>-</v>
      </c>
      <c r="D6" s="51" t="str">
        <f t="shared" si="0"/>
        <v>Crawley</v>
      </c>
    </row>
    <row r="7" spans="1:4" ht="15">
      <c r="A7" s="84">
        <v>6</v>
      </c>
      <c r="B7" s="50" t="str">
        <f>IF(VALUE(MID(Dec!$B$1,2,1))="","",VLOOKUP(VALUE(MID(Dec!$B$1,2,1)),W400mH,7))</f>
        <v>TT</v>
      </c>
      <c r="C7" s="51" t="str">
        <f>IF(B7="","",IF(LEN(B7)=2,VLOOKUP(E1,WSB,VLOOKUP(LEFT(B7,1),Teams,6,FALSE),FALSE),VLOOKUP(E1,WSA,VLOOKUP(B7,Teams,6,FALSE),FALSE)))</f>
        <v>Nicola Dobra</v>
      </c>
      <c r="D7" s="51" t="str">
        <f t="shared" si="0"/>
        <v>Tonbridge</v>
      </c>
    </row>
    <row r="8" spans="1:4" ht="15">
      <c r="A8" s="84">
        <v>7</v>
      </c>
      <c r="B8" s="50" t="str">
        <f>IF(VALUE(MID(Dec!$B$1,2,1))="","",VLOOKUP(VALUE(MID(Dec!$B$1,2,1)),W400mH,8))</f>
        <v>EE</v>
      </c>
      <c r="C8" s="51" t="str">
        <f>IF(B8="","",IF(LEN(B8)=2,VLOOKUP(E1,WSB,VLOOKUP(LEFT(B8,1),Teams,6,FALSE),FALSE),VLOOKUP(E1,WSA,VLOOKUP(B8,Teams,6,FALSE),FALSE)))</f>
        <v>Lizzie Thompson</v>
      </c>
      <c r="D8" s="51" t="str">
        <f t="shared" si="0"/>
        <v>Epsom &amp; Ewell</v>
      </c>
    </row>
    <row r="9" spans="1:4" ht="15">
      <c r="A9" s="84">
        <v>8</v>
      </c>
      <c r="B9" s="50" t="str">
        <f>IF(VALUE(MID(Dec!$B$1,2,1))="","",VLOOKUP(VALUE(MID(Dec!$B$1,2,1)),W400mH,9))</f>
        <v>RR</v>
      </c>
      <c r="C9" s="51">
        <f>IF(B9="","",IF(LEN(B9)=2,VLOOKUP(E1,WSB,VLOOKUP(LEFT(B9,1),Teams,6,FALSE),FALSE),VLOOKUP(E1,WSA,VLOOKUP(B9,Teams,6,FALSE),FALSE)))</f>
        <v>0</v>
      </c>
      <c r="D9" s="51" t="str">
        <f t="shared" si="0"/>
        <v>Team Dorset</v>
      </c>
    </row>
    <row r="10" spans="1:5" ht="12.75">
      <c r="A10" s="82" t="s">
        <v>886</v>
      </c>
      <c r="B10" s="81"/>
      <c r="C10" s="85" t="s">
        <v>888</v>
      </c>
      <c r="D10" s="86">
        <v>0.517361111111111</v>
      </c>
      <c r="E10" t="s">
        <v>986</v>
      </c>
    </row>
    <row r="11" spans="1:4" ht="15">
      <c r="A11" s="84">
        <v>1</v>
      </c>
      <c r="B11" s="50" t="str">
        <f>IF(VALUE(MID(Dec!$B$1,2,1))="","",VLOOKUP(VALUE(MID(Dec!$B$1,2,1)),M400mH,2))</f>
        <v>E</v>
      </c>
      <c r="C11" s="51" t="str">
        <f>IF(B11="","",IF(LEN(B11)=2,VLOOKUP(E10,MSB,VLOOKUP(LEFT(B11,1),Teams,6,FALSE),FALSE),VLOOKUP(E10,MSA,VLOOKUP(B11,Teams,6,FALSE),FALSE)))</f>
        <v>Martin Lay</v>
      </c>
      <c r="D11" s="51" t="str">
        <f aca="true" t="shared" si="1" ref="D11:D18">IF(B11="","",VLOOKUP(LEFT(B11,1),Teams,2,FALSE))</f>
        <v>Epsom &amp; Ewell</v>
      </c>
    </row>
    <row r="12" spans="1:4" ht="15">
      <c r="A12" s="84">
        <v>2</v>
      </c>
      <c r="B12" s="50" t="str">
        <f>IF(VALUE(MID(Dec!$B$1,2,1))="","",VLOOKUP(VALUE(MID(Dec!$B$1,2,1)),M400mH,3))</f>
        <v>R</v>
      </c>
      <c r="C12" s="51" t="str">
        <f>IF(B12="","",IF(LEN(B12)=2,VLOOKUP(E10,MSB,VLOOKUP(LEFT(B12,1),Teams,6,FALSE),FALSE),VLOOKUP(E10,MSA,VLOOKUP(B12,Teams,6,FALSE),FALSE)))</f>
        <v>David Pearson</v>
      </c>
      <c r="D12" s="51" t="str">
        <f t="shared" si="1"/>
        <v>Team Dorset</v>
      </c>
    </row>
    <row r="13" spans="1:4" ht="15">
      <c r="A13" s="84">
        <v>3</v>
      </c>
      <c r="B13" s="50" t="str">
        <f>IF(VALUE(MID(Dec!$B$1,2,1))="","",VLOOKUP(VALUE(MID(Dec!$B$1,2,1)),M400mH,4))</f>
        <v>T</v>
      </c>
      <c r="C13" s="51" t="str">
        <f>IF(B13="","",IF(LEN(B13)=2,VLOOKUP(E10,MSB,VLOOKUP(LEFT(B13,1),Teams,6,FALSE),FALSE),VLOOKUP(E10,MSA,VLOOKUP(B13,Teams,6,FALSE),FALSE)))</f>
        <v>Neil Woodfine</v>
      </c>
      <c r="D13" s="51" t="str">
        <f t="shared" si="1"/>
        <v>Tonbridge</v>
      </c>
    </row>
    <row r="14" spans="1:4" ht="15">
      <c r="A14" s="84">
        <v>4</v>
      </c>
      <c r="B14" s="50" t="str">
        <f>IF(VALUE(MID(Dec!$B$1,2,1))="","",VLOOKUP(VALUE(MID(Dec!$B$1,2,1)),M400mH,5))</f>
        <v>Y</v>
      </c>
      <c r="C14" s="51" t="str">
        <f>IF(B14="","",IF(LEN(B14)=2,VLOOKUP(E10,MSB,VLOOKUP(LEFT(B14,1),Teams,6,FALSE),FALSE),VLOOKUP(E10,MSA,VLOOKUP(B14,Teams,6,FALSE),FALSE)))</f>
        <v>George Grainger</v>
      </c>
      <c r="D14" s="51" t="str">
        <f t="shared" si="1"/>
        <v>Crawley</v>
      </c>
    </row>
    <row r="15" spans="1:4" ht="15">
      <c r="A15" s="84">
        <v>5</v>
      </c>
      <c r="B15" s="50" t="str">
        <f>IF(VALUE(MID(Dec!$B$1,2,1))="","",VLOOKUP(VALUE(MID(Dec!$B$1,2,1)),M400mH,6))</f>
        <v>EE</v>
      </c>
      <c r="C15" s="51" t="str">
        <f>IF(B15="","",IF(LEN(B15)=2,VLOOKUP(E10,MSB,VLOOKUP(LEFT(B15,1),Teams,6,FALSE),FALSE),VLOOKUP(E10,MSA,VLOOKUP(B15,Teams,6,FALSE),FALSE)))</f>
        <v>Alex Gurteen</v>
      </c>
      <c r="D15" s="51" t="str">
        <f t="shared" si="1"/>
        <v>Epsom &amp; Ewell</v>
      </c>
    </row>
    <row r="16" spans="1:4" ht="15">
      <c r="A16" s="84">
        <v>6</v>
      </c>
      <c r="B16" s="50" t="str">
        <f>IF(VALUE(MID(Dec!$B$1,2,1))="","",VLOOKUP(VALUE(MID(Dec!$B$1,2,1)),M400mH,7))</f>
        <v>RR</v>
      </c>
      <c r="C16" s="51">
        <f>IF(B16="","",IF(LEN(B16)=2,VLOOKUP(E10,MSB,VLOOKUP(LEFT(B16,1),Teams,6,FALSE),FALSE),VLOOKUP(E10,MSA,VLOOKUP(B16,Teams,6,FALSE),FALSE)))</f>
        <v>0</v>
      </c>
      <c r="D16" s="51" t="str">
        <f t="shared" si="1"/>
        <v>Team Dorset</v>
      </c>
    </row>
    <row r="17" spans="1:4" ht="15">
      <c r="A17" s="84">
        <v>7</v>
      </c>
      <c r="B17" s="50" t="str">
        <f>IF(VALUE(MID(Dec!$B$1,2,1))="","",VLOOKUP(VALUE(MID(Dec!$B$1,2,1)),M400mH,8))</f>
        <v>TT</v>
      </c>
      <c r="C17" s="51" t="str">
        <f>IF(B17="","",IF(LEN(B17)=2,VLOOKUP(E10,MSB,VLOOKUP(LEFT(B17,1),Teams,6,FALSE),FALSE),VLOOKUP(E10,MSA,VLOOKUP(B17,Teams,6,FALSE),FALSE)))</f>
        <v>Aaron Waterman</v>
      </c>
      <c r="D17" s="51" t="str">
        <f t="shared" si="1"/>
        <v>Tonbridge</v>
      </c>
    </row>
    <row r="18" spans="1:4" ht="15">
      <c r="A18" s="84">
        <v>8</v>
      </c>
      <c r="B18" s="50" t="str">
        <f>IF(VALUE(MID(Dec!$B$1,2,1))="","",VLOOKUP(VALUE(MID(Dec!$B$1,2,1)),M400mH,9))</f>
        <v>YY</v>
      </c>
      <c r="C18" s="51" t="str">
        <f>IF(B18="","",IF(LEN(B18)=2,VLOOKUP(E10,MSB,VLOOKUP(LEFT(B18,1),Teams,6,FALSE),FALSE),VLOOKUP(E10,MSA,VLOOKUP(B18,Teams,6,FALSE),FALSE)))</f>
        <v>Sam Cunningham</v>
      </c>
      <c r="D18" s="51" t="str">
        <f t="shared" si="1"/>
        <v>Crawley</v>
      </c>
    </row>
    <row r="19" spans="1:5" ht="12.75">
      <c r="A19" s="82" t="s">
        <v>886</v>
      </c>
      <c r="C19" s="83" t="s">
        <v>889</v>
      </c>
      <c r="D19" s="86">
        <v>0.5243055555555556</v>
      </c>
      <c r="E19" s="87" t="s">
        <v>984</v>
      </c>
    </row>
    <row r="20" spans="1:4" ht="15">
      <c r="A20" s="84">
        <v>1</v>
      </c>
      <c r="B20" s="50" t="str">
        <f>IF(VALUE(MID(Dec!$B$1,2,1))="","",VLOOKUP(VALUE(MID(Dec!$B$1,2,1)),W800m,2))</f>
        <v>T</v>
      </c>
      <c r="C20" s="51" t="str">
        <f>IF(B20="","",IF(LEN(B20)=2,VLOOKUP(E19,WSB,VLOOKUP(LEFT(B20,1),Teams,6,FALSE),FALSE),VLOOKUP(E19,WSA,VLOOKUP(B20,Teams,6,FALSE),FALSE)))</f>
        <v>Hannah Czarnowski</v>
      </c>
      <c r="D20" s="51" t="str">
        <f aca="true" t="shared" si="2" ref="D20:D27">IF(B20="","",VLOOKUP(LEFT(B20,1),Teams,2,FALSE))</f>
        <v>Tonbridge</v>
      </c>
    </row>
    <row r="21" spans="1:4" ht="15">
      <c r="A21" s="84">
        <v>2</v>
      </c>
      <c r="B21" s="50" t="str">
        <f>IF(VALUE(MID(Dec!$B$1,2,1))="","",VLOOKUP(VALUE(MID(Dec!$B$1,2,1)),W800m,3))</f>
        <v>R</v>
      </c>
      <c r="C21" s="51" t="str">
        <f>IF(B21="","",IF(LEN(B21)=2,VLOOKUP(E19,WSB,VLOOKUP(LEFT(B21,1),Teams,6,FALSE),FALSE),VLOOKUP(E19,WSA,VLOOKUP(B21,Teams,6,FALSE),FALSE)))</f>
        <v>Aiste Razmaite</v>
      </c>
      <c r="D21" s="51" t="str">
        <f t="shared" si="2"/>
        <v>Team Dorset</v>
      </c>
    </row>
    <row r="22" spans="1:4" ht="15">
      <c r="A22" s="84">
        <v>3</v>
      </c>
      <c r="B22" s="50" t="str">
        <f>IF(VALUE(MID(Dec!$B$1,2,1))="","",VLOOKUP(VALUE(MID(Dec!$B$1,2,1)),W800m,4))</f>
        <v>E</v>
      </c>
      <c r="C22" s="51" t="str">
        <f>IF(B22="","",IF(LEN(B22)=2,VLOOKUP(E19,WSB,VLOOKUP(LEFT(B22,1),Teams,6,FALSE),FALSE),VLOOKUP(E19,WSA,VLOOKUP(B22,Teams,6,FALSE),FALSE)))</f>
        <v>Diana Norman</v>
      </c>
      <c r="D22" s="51" t="str">
        <f t="shared" si="2"/>
        <v>Epsom &amp; Ewell</v>
      </c>
    </row>
    <row r="23" spans="1:4" ht="15">
      <c r="A23" s="84">
        <v>4</v>
      </c>
      <c r="B23" s="50" t="str">
        <f>IF(VALUE(MID(Dec!$B$1,2,1))="","",VLOOKUP(VALUE(MID(Dec!$B$1,2,1)),W800m,5))</f>
        <v>Y</v>
      </c>
      <c r="C23" s="51" t="str">
        <f>IF(B23="","",IF(LEN(B23)=2,VLOOKUP(E19,WSB,VLOOKUP(LEFT(B23,1),Teams,6,FALSE),FALSE),VLOOKUP(E19,WSA,VLOOKUP(B23,Teams,6,FALSE),FALSE)))</f>
        <v>Olivia Dowie</v>
      </c>
      <c r="D23" s="51" t="str">
        <f t="shared" si="2"/>
        <v>Crawley</v>
      </c>
    </row>
    <row r="24" spans="1:4" ht="15">
      <c r="A24" s="84">
        <v>5</v>
      </c>
      <c r="B24" s="50" t="str">
        <f>IF(VALUE(MID(Dec!$B$1,2,1))="","",VLOOKUP(VALUE(MID(Dec!$B$1,2,1)),W800m,6))</f>
        <v>TT</v>
      </c>
      <c r="C24" s="51" t="str">
        <f>IF(B24="","",IF(LEN(B24)=2,VLOOKUP(E19,WSB,VLOOKUP(LEFT(B24,1),Teams,6,FALSE),FALSE),VLOOKUP(E19,WSA,VLOOKUP(B24,Teams,6,FALSE),FALSE)))</f>
        <v>Polly Pitcairn-Knowles</v>
      </c>
      <c r="D24" s="51" t="str">
        <f t="shared" si="2"/>
        <v>Tonbridge</v>
      </c>
    </row>
    <row r="25" spans="1:4" ht="15">
      <c r="A25" s="84">
        <v>6</v>
      </c>
      <c r="B25" s="50" t="str">
        <f>IF(VALUE(MID(Dec!$B$1,2,1))="","",VLOOKUP(VALUE(MID(Dec!$B$1,2,1)),W800m,7))</f>
        <v>RR</v>
      </c>
      <c r="C25" s="51" t="str">
        <f>IF(B25="","",IF(LEN(B25)=2,VLOOKUP(E19,WSB,VLOOKUP(LEFT(B25,1),Teams,6,FALSE),FALSE),VLOOKUP(E19,WSA,VLOOKUP(B25,Teams,6,FALSE),FALSE)))</f>
        <v>Sarah Orr</v>
      </c>
      <c r="D25" s="51" t="str">
        <f t="shared" si="2"/>
        <v>Team Dorset</v>
      </c>
    </row>
    <row r="26" spans="1:4" ht="15">
      <c r="A26" s="84">
        <v>7</v>
      </c>
      <c r="B26" s="50" t="str">
        <f>IF(VALUE(MID(Dec!$B$1,2,1))="","",VLOOKUP(VALUE(MID(Dec!$B$1,2,1)),W800m,8))</f>
        <v>EE</v>
      </c>
      <c r="C26" s="51" t="str">
        <f>IF(B26="","",IF(LEN(B26)=2,VLOOKUP(E19,WSB,VLOOKUP(LEFT(B26,1),Teams,6,FALSE),FALSE),VLOOKUP(E19,WSA,VLOOKUP(B26,Teams,6,FALSE),FALSE)))</f>
        <v>Katie Garrod</v>
      </c>
      <c r="D26" s="51" t="str">
        <f t="shared" si="2"/>
        <v>Epsom &amp; Ewell</v>
      </c>
    </row>
    <row r="27" spans="1:4" ht="15">
      <c r="A27" s="84">
        <v>8</v>
      </c>
      <c r="B27" s="50" t="str">
        <f>IF(VALUE(MID(Dec!$B$1,2,1))="","",VLOOKUP(VALUE(MID(Dec!$B$1,2,1)),W800m,9))</f>
        <v>YY</v>
      </c>
      <c r="C27" s="51" t="str">
        <f>IF(B27="","",IF(LEN(B27)=2,VLOOKUP(E19,WSB,VLOOKUP(LEFT(B27,1),Teams,6,FALSE),FALSE),VLOOKUP(E19,WSA,VLOOKUP(B27,Teams,6,FALSE),FALSE)))</f>
        <v>Sophie Dowle</v>
      </c>
      <c r="D27" s="51" t="str">
        <f t="shared" si="2"/>
        <v>Crawley</v>
      </c>
    </row>
    <row r="28" spans="1:5" ht="12.75">
      <c r="A28" s="82" t="s">
        <v>886</v>
      </c>
      <c r="B28" s="81"/>
      <c r="C28" s="85" t="s">
        <v>890</v>
      </c>
      <c r="D28" s="86">
        <v>0.5291666666666667</v>
      </c>
      <c r="E28" s="88" t="s">
        <v>984</v>
      </c>
    </row>
    <row r="29" spans="1:4" ht="15">
      <c r="A29" s="84">
        <v>1</v>
      </c>
      <c r="B29" s="50" t="str">
        <f>IF(VALUE(MID(Dec!$B$1,2,1))="","",VLOOKUP(VALUE(MID(Dec!$B$1,2,1)),M800m,2))</f>
        <v>T</v>
      </c>
      <c r="C29" s="51" t="str">
        <f>IF(B29="","",IF(LEN(B29)=2,VLOOKUP(E28,MSB,VLOOKUP(LEFT(B29,1),Teams,6,FALSE),FALSE),VLOOKUP(E28,MSA,VLOOKUP(B29,Teams,6,FALSE),FALSE)))</f>
        <v>Tom Cox</v>
      </c>
      <c r="D29" s="51" t="str">
        <f aca="true" t="shared" si="3" ref="D29:D36">IF(B29="","",VLOOKUP(LEFT(B29,1),Teams,2,FALSE))</f>
        <v>Tonbridge</v>
      </c>
    </row>
    <row r="30" spans="1:4" ht="15">
      <c r="A30" s="84">
        <v>2</v>
      </c>
      <c r="B30" s="50" t="str">
        <f>IF(VALUE(MID(Dec!$B$1,2,1))="","",VLOOKUP(VALUE(MID(Dec!$B$1,2,1)),M800m,3))</f>
        <v>R</v>
      </c>
      <c r="C30" s="51" t="str">
        <f>IF(B30="","",IF(LEN(B30)=2,VLOOKUP(E28,MSB,VLOOKUP(LEFT(B30,1),Teams,6,FALSE),FALSE),VLOOKUP(E28,MSA,VLOOKUP(B30,Teams,6,FALSE),FALSE)))</f>
        <v>Piers Copeland</v>
      </c>
      <c r="D30" s="51" t="str">
        <f t="shared" si="3"/>
        <v>Team Dorset</v>
      </c>
    </row>
    <row r="31" spans="1:4" ht="15">
      <c r="A31" s="84">
        <v>3</v>
      </c>
      <c r="B31" s="50" t="str">
        <f>IF(VALUE(MID(Dec!$B$1,2,1))="","",VLOOKUP(VALUE(MID(Dec!$B$1,2,1)),M800m,4))</f>
        <v>E</v>
      </c>
      <c r="C31" s="51" t="str">
        <f>IF(B31="","",IF(LEN(B31)=2,VLOOKUP(E28,MSB,VLOOKUP(LEFT(B31,1),Teams,6,FALSE),FALSE),VLOOKUP(E28,MSA,VLOOKUP(B31,Teams,6,FALSE),FALSE)))</f>
        <v>Stuart Flack</v>
      </c>
      <c r="D31" s="51" t="str">
        <f t="shared" si="3"/>
        <v>Epsom &amp; Ewell</v>
      </c>
    </row>
    <row r="32" spans="1:4" ht="15">
      <c r="A32" s="84">
        <v>4</v>
      </c>
      <c r="B32" s="50" t="str">
        <f>IF(VALUE(MID(Dec!$B$1,2,1))="","",VLOOKUP(VALUE(MID(Dec!$B$1,2,1)),M800m,5))</f>
        <v>Y</v>
      </c>
      <c r="C32" s="51" t="str">
        <f>IF(B32="","",IF(LEN(B32)=2,VLOOKUP(E28,MSB,VLOOKUP(LEFT(B32,1),Teams,6,FALSE),FALSE),VLOOKUP(E28,MSA,VLOOKUP(B32,Teams,6,FALSE),FALSE)))</f>
        <v>Owen Wyeth</v>
      </c>
      <c r="D32" s="51" t="str">
        <f t="shared" si="3"/>
        <v>Crawley</v>
      </c>
    </row>
    <row r="33" spans="1:4" ht="15">
      <c r="A33" s="84">
        <v>5</v>
      </c>
      <c r="B33" s="50" t="str">
        <f>IF(VALUE(MID(Dec!$B$1,2,1))="","",VLOOKUP(VALUE(MID(Dec!$B$1,2,1)),M800m,6))</f>
        <v>TT</v>
      </c>
      <c r="C33" s="51" t="str">
        <f>IF(B33="","",IF(LEN(B33)=2,VLOOKUP(E28,MSB,VLOOKUP(LEFT(B33,1),Teams,6,FALSE),FALSE),VLOOKUP(E28,MSA,VLOOKUP(B33,Teams,6,FALSE),FALSE)))</f>
        <v>Dan Bradley</v>
      </c>
      <c r="D33" s="51" t="str">
        <f t="shared" si="3"/>
        <v>Tonbridge</v>
      </c>
    </row>
    <row r="34" spans="1:4" ht="15">
      <c r="A34" s="84">
        <v>6</v>
      </c>
      <c r="B34" s="50" t="str">
        <f>IF(VALUE(MID(Dec!$B$1,2,1))="","",VLOOKUP(VALUE(MID(Dec!$B$1,2,1)),M800m,7))</f>
        <v>RR</v>
      </c>
      <c r="C34" s="51" t="str">
        <f>IF(B34="","",IF(LEN(B34)=2,VLOOKUP(E28,MSB,VLOOKUP(LEFT(B34,1),Teams,6,FALSE),FALSE),VLOOKUP(E28,MSA,VLOOKUP(B34,Teams,6,FALSE),FALSE)))</f>
        <v>Tom Freeman</v>
      </c>
      <c r="D34" s="51" t="str">
        <f t="shared" si="3"/>
        <v>Team Dorset</v>
      </c>
    </row>
    <row r="35" spans="1:4" ht="15">
      <c r="A35" s="84">
        <v>7</v>
      </c>
      <c r="B35" s="50" t="str">
        <f>IF(VALUE(MID(Dec!$B$1,2,1))="","",VLOOKUP(VALUE(MID(Dec!$B$1,2,1)),M800m,8))</f>
        <v>EE</v>
      </c>
      <c r="C35" s="51" t="str">
        <f>IF(B35="","",IF(LEN(B35)=2,VLOOKUP(E28,MSB,VLOOKUP(LEFT(B35,1),Teams,6,FALSE),FALSE),VLOOKUP(E28,MSA,VLOOKUP(B35,Teams,6,FALSE),FALSE)))</f>
        <v>Daniel Johnson</v>
      </c>
      <c r="D35" s="51" t="str">
        <f t="shared" si="3"/>
        <v>Epsom &amp; Ewell</v>
      </c>
    </row>
    <row r="36" spans="1:4" ht="15">
      <c r="A36" s="84">
        <v>8</v>
      </c>
      <c r="B36" s="50" t="str">
        <f>IF(VALUE(MID(Dec!$B$1,2,1))="","",VLOOKUP(VALUE(MID(Dec!$B$1,2,1)),M800m,9))</f>
        <v>YY</v>
      </c>
      <c r="C36" s="51" t="str">
        <f>IF(B36="","",IF(LEN(B36)=2,VLOOKUP(E28,MSB,VLOOKUP(LEFT(B36,1),Teams,6,FALSE),FALSE),VLOOKUP(E28,MSA,VLOOKUP(B36,Teams,6,FALSE),FALSE)))</f>
        <v>Ben Golding </v>
      </c>
      <c r="D36" s="51" t="str">
        <f t="shared" si="3"/>
        <v>Crawley</v>
      </c>
    </row>
    <row r="37" spans="1:5" ht="12.75">
      <c r="A37" s="82" t="s">
        <v>886</v>
      </c>
      <c r="C37" s="83" t="s">
        <v>891</v>
      </c>
      <c r="D37" s="89">
        <v>0.5347222222222222</v>
      </c>
      <c r="E37" s="87" t="s">
        <v>981</v>
      </c>
    </row>
    <row r="38" spans="1:4" ht="15">
      <c r="A38" s="84">
        <v>1</v>
      </c>
      <c r="B38" s="50" t="str">
        <f>IF(VALUE(MID(Dec!$B$1,2,1))="","",VLOOKUP(VALUE(MID(Dec!$B$1,2,1)),W100m,2))</f>
        <v>T</v>
      </c>
      <c r="C38" s="51" t="str">
        <f>IF(B38="","",IF(LEN(B38)=2,VLOOKUP(E37,WSB,VLOOKUP(LEFT(B38,1),Teams,6,FALSE),FALSE),VLOOKUP(E37,WSA,VLOOKUP(B38,Teams,6,FALSE),FALSE)))</f>
        <v>Joanne Ware</v>
      </c>
      <c r="D38" s="51" t="str">
        <f aca="true" t="shared" si="4" ref="D38:D45">IF(B38="","",VLOOKUP(LEFT(B38,1),Teams,2,FALSE))</f>
        <v>Tonbridge</v>
      </c>
    </row>
    <row r="39" spans="1:4" ht="15">
      <c r="A39" s="84">
        <v>2</v>
      </c>
      <c r="B39" s="50" t="str">
        <f>IF(VALUE(MID(Dec!$B$1,2,1))="","",VLOOKUP(VALUE(MID(Dec!$B$1,2,1)),W100m,3))</f>
        <v>E</v>
      </c>
      <c r="C39" s="51" t="str">
        <f>IF(B39="","",IF(LEN(B39)=2,VLOOKUP(E37,WSB,VLOOKUP(LEFT(B39,1),Teams,6,FALSE),FALSE),VLOOKUP(E37,WSA,VLOOKUP(B39,Teams,6,FALSE),FALSE)))</f>
        <v>Alex Potts</v>
      </c>
      <c r="D39" s="51" t="str">
        <f t="shared" si="4"/>
        <v>Epsom &amp; Ewell</v>
      </c>
    </row>
    <row r="40" spans="1:4" ht="15">
      <c r="A40" s="84">
        <v>3</v>
      </c>
      <c r="B40" s="50" t="str">
        <f>IF(VALUE(MID(Dec!$B$1,2,1))="","",VLOOKUP(VALUE(MID(Dec!$B$1,2,1)),W100m,4))</f>
        <v>Y</v>
      </c>
      <c r="C40" s="51" t="str">
        <f>IF(B40="","",IF(LEN(B40)=2,VLOOKUP(E37,WSB,VLOOKUP(LEFT(B40,1),Teams,6,FALSE),FALSE),VLOOKUP(E37,WSA,VLOOKUP(B40,Teams,6,FALSE),FALSE)))</f>
        <v>Taiye Musa</v>
      </c>
      <c r="D40" s="51" t="str">
        <f t="shared" si="4"/>
        <v>Crawley</v>
      </c>
    </row>
    <row r="41" spans="1:4" ht="15">
      <c r="A41" s="84">
        <v>4</v>
      </c>
      <c r="B41" s="50" t="str">
        <f>IF(VALUE(MID(Dec!$B$1,2,1))="","",VLOOKUP(VALUE(MID(Dec!$B$1,2,1)),W100m,5))</f>
        <v>R</v>
      </c>
      <c r="C41" s="51" t="str">
        <f>IF(B41="","",IF(LEN(B41)=2,VLOOKUP(E37,WSB,VLOOKUP(LEFT(B41,1),Teams,6,FALSE),FALSE),VLOOKUP(E37,WSA,VLOOKUP(B41,Teams,6,FALSE),FALSE)))</f>
        <v>Bobbie-louise-Gannon</v>
      </c>
      <c r="D41" s="51" t="str">
        <f t="shared" si="4"/>
        <v>Team Dorset</v>
      </c>
    </row>
    <row r="42" spans="1:4" ht="15">
      <c r="A42" s="84">
        <v>5</v>
      </c>
      <c r="B42" s="50" t="str">
        <f>IF(VALUE(MID(Dec!$B$1,2,1))="","",VLOOKUP(VALUE(MID(Dec!$B$1,2,1)),W100m,6))</f>
        <v>TT</v>
      </c>
      <c r="C42" s="51" t="str">
        <f>IF(B42="","",IF(LEN(B42)=2,VLOOKUP(E37,WSB,VLOOKUP(LEFT(B42,1),Teams,6,FALSE),FALSE),VLOOKUP(E37,WSA,VLOOKUP(B42,Teams,6,FALSE),FALSE)))</f>
        <v>Laura Baliman</v>
      </c>
      <c r="D42" s="51" t="str">
        <f t="shared" si="4"/>
        <v>Tonbridge</v>
      </c>
    </row>
    <row r="43" spans="1:4" ht="15">
      <c r="A43" s="84">
        <v>6</v>
      </c>
      <c r="B43" s="50" t="str">
        <f>IF(VALUE(MID(Dec!$B$1,2,1))="","",VLOOKUP(VALUE(MID(Dec!$B$1,2,1)),W100m,7))</f>
        <v>EE</v>
      </c>
      <c r="C43" s="51" t="str">
        <f>IF(B43="","",IF(LEN(B43)=2,VLOOKUP(E37,WSB,VLOOKUP(LEFT(B43,1),Teams,6,FALSE),FALSE),VLOOKUP(E37,WSA,VLOOKUP(B43,Teams,6,FALSE),FALSE)))</f>
        <v>Tamar Rennles</v>
      </c>
      <c r="D43" s="51" t="str">
        <f t="shared" si="4"/>
        <v>Epsom &amp; Ewell</v>
      </c>
    </row>
    <row r="44" spans="1:4" ht="15">
      <c r="A44" s="84">
        <v>7</v>
      </c>
      <c r="B44" s="50" t="str">
        <f>IF(VALUE(MID(Dec!$B$1,2,1))="","",VLOOKUP(VALUE(MID(Dec!$B$1,2,1)),W100m,8))</f>
        <v>YY</v>
      </c>
      <c r="C44" s="51" t="str">
        <f>IF(B44="","",IF(LEN(B44)=2,VLOOKUP(E37,WSB,VLOOKUP(LEFT(B44,1),Teams,6,FALSE),FALSE),VLOOKUP(E37,WSA,VLOOKUP(B44,Teams,6,FALSE),FALSE)))</f>
        <v>Libby Moody</v>
      </c>
      <c r="D44" s="51" t="str">
        <f t="shared" si="4"/>
        <v>Crawley</v>
      </c>
    </row>
    <row r="45" spans="1:4" ht="15">
      <c r="A45" s="84">
        <v>8</v>
      </c>
      <c r="B45" s="50" t="str">
        <f>IF(VALUE(MID(Dec!$B$1,2,1))="","",VLOOKUP(VALUE(MID(Dec!$B$1,2,1)),W100m,9))</f>
        <v>RR</v>
      </c>
      <c r="C45" s="51" t="str">
        <f>IF(B45="","",IF(LEN(B45)=2,VLOOKUP(E37,WSB,VLOOKUP(LEFT(B45,1),Teams,6,FALSE),FALSE),VLOOKUP(E37,WSA,VLOOKUP(B45,Teams,6,FALSE),FALSE)))</f>
        <v>Maddy Williams </v>
      </c>
      <c r="D45" s="51" t="str">
        <f t="shared" si="4"/>
        <v>Team Dorset</v>
      </c>
    </row>
    <row r="46" spans="1:5" ht="12.75">
      <c r="A46" s="82" t="s">
        <v>886</v>
      </c>
      <c r="B46" s="81"/>
      <c r="C46" s="85" t="s">
        <v>892</v>
      </c>
      <c r="D46" s="89">
        <v>0.041666666666666664</v>
      </c>
      <c r="E46" s="88" t="s">
        <v>981</v>
      </c>
    </row>
    <row r="47" spans="1:4" ht="15">
      <c r="A47" s="84">
        <v>1</v>
      </c>
      <c r="B47" s="50" t="str">
        <f>IF(VALUE(MID(Dec!$B$1,2,1))="","",VLOOKUP(VALUE(MID(Dec!$B$1,2,1)),M100m,2))</f>
        <v>R</v>
      </c>
      <c r="C47" s="51" t="str">
        <f>IF(B47="","",IF(LEN(B47)=2,VLOOKUP(E46,MSB,VLOOKUP(LEFT(B47,1),Teams,6,FALSE),FALSE),VLOOKUP(E46,MSA,VLOOKUP(B47,Teams,6,FALSE),FALSE)))</f>
        <v>Jack Rees</v>
      </c>
      <c r="D47" s="51" t="str">
        <f aca="true" t="shared" si="5" ref="D47:D54">IF(B47="","",VLOOKUP(LEFT(B47,1),Teams,2,FALSE))</f>
        <v>Team Dorset</v>
      </c>
    </row>
    <row r="48" spans="1:4" ht="15">
      <c r="A48" s="84">
        <v>2</v>
      </c>
      <c r="B48" s="50" t="str">
        <f>IF(VALUE(MID(Dec!$B$1,2,1))="","",VLOOKUP(VALUE(MID(Dec!$B$1,2,1)),M100m,3))</f>
        <v>T</v>
      </c>
      <c r="C48" s="51" t="str">
        <f>IF(B48="","",IF(LEN(B48)=2,VLOOKUP(E46,MSB,VLOOKUP(LEFT(B48,1),Teams,6,FALSE),FALSE),VLOOKUP(E46,MSA,VLOOKUP(B48,Teams,6,FALSE),FALSE)))</f>
        <v>Ed Hall</v>
      </c>
      <c r="D48" s="51" t="str">
        <f t="shared" si="5"/>
        <v>Tonbridge</v>
      </c>
    </row>
    <row r="49" spans="1:4" ht="15">
      <c r="A49" s="84">
        <v>3</v>
      </c>
      <c r="B49" s="50" t="str">
        <f>IF(VALUE(MID(Dec!$B$1,2,1))="","",VLOOKUP(VALUE(MID(Dec!$B$1,2,1)),M100m,4))</f>
        <v>E</v>
      </c>
      <c r="C49" s="51" t="str">
        <f>IF(B49="","",IF(LEN(B49)=2,VLOOKUP(E46,MSB,VLOOKUP(LEFT(B49,1),Teams,6,FALSE),FALSE),VLOOKUP(E46,MSA,VLOOKUP(B49,Teams,6,FALSE),FALSE)))</f>
        <v>Jordan Shaw</v>
      </c>
      <c r="D49" s="51" t="str">
        <f t="shared" si="5"/>
        <v>Epsom &amp; Ewell</v>
      </c>
    </row>
    <row r="50" spans="1:4" ht="15">
      <c r="A50" s="84">
        <v>4</v>
      </c>
      <c r="B50" s="50" t="str">
        <f>IF(VALUE(MID(Dec!$B$1,2,1))="","",VLOOKUP(VALUE(MID(Dec!$B$1,2,1)),M100m,5))</f>
        <v>Y</v>
      </c>
      <c r="C50" s="51" t="str">
        <f>IF(B50="","",IF(LEN(B50)=2,VLOOKUP(E46,MSB,VLOOKUP(LEFT(B50,1),Teams,6,FALSE),FALSE),VLOOKUP(E46,MSA,VLOOKUP(B50,Teams,6,FALSE),FALSE)))</f>
        <v>Rob Allan</v>
      </c>
      <c r="D50" s="51" t="str">
        <f t="shared" si="5"/>
        <v>Crawley</v>
      </c>
    </row>
    <row r="51" spans="1:4" ht="15">
      <c r="A51" s="84">
        <v>5</v>
      </c>
      <c r="B51" s="50" t="str">
        <f>IF(VALUE(MID(Dec!$B$1,2,1))="","",VLOOKUP(VALUE(MID(Dec!$B$1,2,1)),M100m,6))</f>
        <v>RR</v>
      </c>
      <c r="C51" s="51" t="str">
        <f>IF(B51="","",IF(LEN(B51)=2,VLOOKUP(E46,MSB,VLOOKUP(LEFT(B51,1),Teams,6,FALSE),FALSE),VLOOKUP(E46,MSA,VLOOKUP(B51,Teams,6,FALSE),FALSE)))</f>
        <v>Liam Winton</v>
      </c>
      <c r="D51" s="51" t="str">
        <f t="shared" si="5"/>
        <v>Team Dorset</v>
      </c>
    </row>
    <row r="52" spans="1:4" ht="15">
      <c r="A52" s="84">
        <v>6</v>
      </c>
      <c r="B52" s="50" t="str">
        <f>IF(VALUE(MID(Dec!$B$1,2,1))="","",VLOOKUP(VALUE(MID(Dec!$B$1,2,1)),M100m,7))</f>
        <v>TT</v>
      </c>
      <c r="C52" s="51" t="str">
        <f>IF(B52="","",IF(LEN(B52)=2,VLOOKUP(E46,MSB,VLOOKUP(LEFT(B52,1),Teams,6,FALSE),FALSE),VLOOKUP(E46,MSA,VLOOKUP(B52,Teams,6,FALSE),FALSE)))</f>
        <v>Zac Cannon</v>
      </c>
      <c r="D52" s="51" t="str">
        <f t="shared" si="5"/>
        <v>Tonbridge</v>
      </c>
    </row>
    <row r="53" spans="1:4" ht="15">
      <c r="A53" s="84">
        <v>7</v>
      </c>
      <c r="B53" s="50" t="str">
        <f>IF(VALUE(MID(Dec!$B$1,2,1))="","",VLOOKUP(VALUE(MID(Dec!$B$1,2,1)),M100m,8))</f>
        <v>EE</v>
      </c>
      <c r="C53" s="51" t="str">
        <f>IF(B53="","",IF(LEN(B53)=2,VLOOKUP(E46,MSB,VLOOKUP(LEFT(B53,1),Teams,6,FALSE),FALSE),VLOOKUP(E46,MSA,VLOOKUP(B53,Teams,6,FALSE),FALSE)))</f>
        <v>Martin Lay</v>
      </c>
      <c r="D53" s="51" t="str">
        <f t="shared" si="5"/>
        <v>Epsom &amp; Ewell</v>
      </c>
    </row>
    <row r="54" spans="1:4" ht="15">
      <c r="A54" s="84">
        <v>8</v>
      </c>
      <c r="B54" s="50" t="str">
        <f>IF(VALUE(MID(Dec!$B$1,2,1))="","",VLOOKUP(VALUE(MID(Dec!$B$1,2,1)),M100m,9))</f>
        <v>YY</v>
      </c>
      <c r="C54" s="51" t="str">
        <f>IF(B54="","",IF(LEN(B54)=2,VLOOKUP(E46,MSB,VLOOKUP(LEFT(B54,1),Teams,6,FALSE),FALSE),VLOOKUP(E46,MSA,VLOOKUP(B54,Teams,6,FALSE),FALSE)))</f>
        <v>Tapiwanashe Mupfupi</v>
      </c>
      <c r="D54" s="51" t="str">
        <f t="shared" si="5"/>
        <v>Crawley</v>
      </c>
    </row>
    <row r="55" spans="1:5" ht="12.75">
      <c r="A55" s="82" t="s">
        <v>886</v>
      </c>
      <c r="C55" s="83" t="s">
        <v>893</v>
      </c>
      <c r="D55" s="89">
        <v>0.05902777777777778</v>
      </c>
      <c r="E55" s="87" t="s">
        <v>983</v>
      </c>
    </row>
    <row r="56" spans="1:4" ht="15">
      <c r="A56" s="84">
        <v>1</v>
      </c>
      <c r="B56" s="50" t="str">
        <f>IF(VALUE(MID(Dec!$B$1,2,1))="","",VLOOKUP(VALUE(MID(Dec!$B$1,2,1)),W400m,2))</f>
        <v>Y</v>
      </c>
      <c r="C56" s="51" t="str">
        <f>IF(B56="","",IF(LEN(B56)=2,VLOOKUP(E55,WSB,VLOOKUP(LEFT(B56,1),Teams,6,FALSE),FALSE),VLOOKUP(E55,WSA,VLOOKUP(B56,Teams,6,FALSE),FALSE)))</f>
        <v>Paige Clark</v>
      </c>
      <c r="D56" s="51" t="str">
        <f aca="true" t="shared" si="6" ref="D56:D63">IF(B56="","",VLOOKUP(LEFT(B56,1),Teams,2,FALSE))</f>
        <v>Crawley</v>
      </c>
    </row>
    <row r="57" spans="1:4" ht="15">
      <c r="A57" s="84">
        <v>2</v>
      </c>
      <c r="B57" s="50" t="str">
        <f>IF(VALUE(MID(Dec!$B$1,2,1))="","",VLOOKUP(VALUE(MID(Dec!$B$1,2,1)),W400m,3))</f>
        <v>E</v>
      </c>
      <c r="C57" s="51" t="str">
        <f>IF(B57="","",IF(LEN(B57)=2,VLOOKUP(E55,WSB,VLOOKUP(LEFT(B57,1),Teams,6,FALSE),FALSE),VLOOKUP(E55,WSA,VLOOKUP(B57,Teams,6,FALSE),FALSE)))</f>
        <v>Diana Norman</v>
      </c>
      <c r="D57" s="51" t="str">
        <f t="shared" si="6"/>
        <v>Epsom &amp; Ewell</v>
      </c>
    </row>
    <row r="58" spans="1:4" ht="15">
      <c r="A58" s="84">
        <v>3</v>
      </c>
      <c r="B58" s="50" t="str">
        <f>IF(VALUE(MID(Dec!$B$1,2,1))="","",VLOOKUP(VALUE(MID(Dec!$B$1,2,1)),W400m,4))</f>
        <v>T</v>
      </c>
      <c r="C58" s="51" t="str">
        <f>IF(B58="","",IF(LEN(B58)=2,VLOOKUP(E55,WSB,VLOOKUP(LEFT(B58,1),Teams,6,FALSE),FALSE),VLOOKUP(E55,WSA,VLOOKUP(B58,Teams,6,FALSE),FALSE)))</f>
        <v>Jessica Murphy</v>
      </c>
      <c r="D58" s="51" t="str">
        <f t="shared" si="6"/>
        <v>Tonbridge</v>
      </c>
    </row>
    <row r="59" spans="1:4" ht="15">
      <c r="A59" s="84">
        <v>4</v>
      </c>
      <c r="B59" s="50" t="str">
        <f>IF(VALUE(MID(Dec!$B$1,2,1))="","",VLOOKUP(VALUE(MID(Dec!$B$1,2,1)),W400m,5))</f>
        <v>R</v>
      </c>
      <c r="C59" s="51" t="str">
        <f>IF(B59="","",IF(LEN(B59)=2,VLOOKUP(E55,WSB,VLOOKUP(LEFT(B59,1),Teams,6,FALSE),FALSE),VLOOKUP(E55,WSA,VLOOKUP(B59,Teams,6,FALSE),FALSE)))</f>
        <v>Hanna Westhenry</v>
      </c>
      <c r="D59" s="51" t="str">
        <f t="shared" si="6"/>
        <v>Team Dorset</v>
      </c>
    </row>
    <row r="60" spans="1:4" ht="15">
      <c r="A60" s="84">
        <v>5</v>
      </c>
      <c r="B60" s="50" t="str">
        <f>IF(VALUE(MID(Dec!$B$1,2,1))="","",VLOOKUP(VALUE(MID(Dec!$B$1,2,1)),W400m,6))</f>
        <v>YY</v>
      </c>
      <c r="C60" s="51" t="str">
        <f>IF(B60="","",IF(LEN(B60)=2,VLOOKUP(E55,WSB,VLOOKUP(LEFT(B60,1),Teams,6,FALSE),FALSE),VLOOKUP(E55,WSA,VLOOKUP(B60,Teams,6,FALSE),FALSE)))</f>
        <v>Libby Moody</v>
      </c>
      <c r="D60" s="51" t="str">
        <f t="shared" si="6"/>
        <v>Crawley</v>
      </c>
    </row>
    <row r="61" spans="1:4" ht="15">
      <c r="A61" s="84">
        <v>6</v>
      </c>
      <c r="B61" s="50" t="str">
        <f>IF(VALUE(MID(Dec!$B$1,2,1))="","",VLOOKUP(VALUE(MID(Dec!$B$1,2,1)),W400m,7))</f>
        <v>EE</v>
      </c>
      <c r="C61" s="51" t="str">
        <f>IF(B61="","",IF(LEN(B61)=2,VLOOKUP(E55,WSB,VLOOKUP(LEFT(B61,1),Teams,6,FALSE),FALSE),VLOOKUP(E55,WSA,VLOOKUP(B61,Teams,6,FALSE),FALSE)))</f>
        <v>Eloise Robini</v>
      </c>
      <c r="D61" s="51" t="str">
        <f t="shared" si="6"/>
        <v>Epsom &amp; Ewell</v>
      </c>
    </row>
    <row r="62" spans="1:4" ht="15">
      <c r="A62" s="84">
        <v>7</v>
      </c>
      <c r="B62" s="50" t="str">
        <f>IF(VALUE(MID(Dec!$B$1,2,1))="","",VLOOKUP(VALUE(MID(Dec!$B$1,2,1)),W400m,8))</f>
        <v>TT</v>
      </c>
      <c r="C62" s="51" t="str">
        <f>IF(B62="","",IF(LEN(B62)=2,VLOOKUP(E55,WSB,VLOOKUP(LEFT(B62,1),Teams,6,FALSE),FALSE),VLOOKUP(E55,WSA,VLOOKUP(B62,Teams,6,FALSE),FALSE)))</f>
        <v>Hannah Czarnowski</v>
      </c>
      <c r="D62" s="51" t="str">
        <f t="shared" si="6"/>
        <v>Tonbridge</v>
      </c>
    </row>
    <row r="63" spans="1:4" ht="15">
      <c r="A63" s="84">
        <v>8</v>
      </c>
      <c r="B63" s="50" t="str">
        <f>IF(VALUE(MID(Dec!$B$1,2,1))="","",VLOOKUP(VALUE(MID(Dec!$B$1,2,1)),W400m,9))</f>
        <v>RR</v>
      </c>
      <c r="C63" s="51" t="str">
        <f>IF(B63="","",IF(LEN(B63)=2,VLOOKUP(E55,WSB,VLOOKUP(LEFT(B63,1),Teams,6,FALSE),FALSE),VLOOKUP(E55,WSA,VLOOKUP(B63,Teams,6,FALSE),FALSE)))</f>
        <v>Aiste Razmaite</v>
      </c>
      <c r="D63" s="51" t="str">
        <f t="shared" si="6"/>
        <v>Team Dorset</v>
      </c>
    </row>
    <row r="64" spans="1:5" ht="12.75">
      <c r="A64" s="82" t="s">
        <v>886</v>
      </c>
      <c r="B64" s="81"/>
      <c r="C64" s="85" t="s">
        <v>894</v>
      </c>
      <c r="D64" s="89">
        <v>0.0625</v>
      </c>
      <c r="E64" s="88" t="s">
        <v>983</v>
      </c>
    </row>
    <row r="65" spans="1:4" ht="15">
      <c r="A65" s="84">
        <v>1</v>
      </c>
      <c r="B65" s="50" t="str">
        <f>IF(VALUE(MID(Dec!$B$1,2,1))="","",VLOOKUP(VALUE(MID(Dec!$B$1,2,1)),M400m,2))</f>
        <v>Y</v>
      </c>
      <c r="C65" s="51" t="str">
        <f>IF(B65="","",IF(LEN(B65)=2,VLOOKUP(E64,MSB,VLOOKUP(LEFT(B65,1),Teams,6,FALSE),FALSE),VLOOKUP(E64,MSA,VLOOKUP(B65,Teams,6,FALSE),FALSE)))</f>
        <v>George Grainger</v>
      </c>
      <c r="D65" s="51" t="str">
        <f aca="true" t="shared" si="7" ref="D65:D72">IF(B65="","",VLOOKUP(LEFT(B65,1),Teams,2,FALSE))</f>
        <v>Crawley</v>
      </c>
    </row>
    <row r="66" spans="1:4" ht="15">
      <c r="A66" s="84">
        <v>2</v>
      </c>
      <c r="B66" s="50" t="str">
        <f>IF(VALUE(MID(Dec!$B$1,2,1))="","",VLOOKUP(VALUE(MID(Dec!$B$1,2,1)),M400m,3))</f>
        <v>E</v>
      </c>
      <c r="C66" s="51" t="str">
        <f>IF(B66="","",IF(LEN(B66)=2,VLOOKUP(E64,MSB,VLOOKUP(LEFT(B66,1),Teams,6,FALSE),FALSE),VLOOKUP(E64,MSA,VLOOKUP(B66,Teams,6,FALSE),FALSE)))</f>
        <v>Alex Hawkins</v>
      </c>
      <c r="D66" s="51" t="str">
        <f t="shared" si="7"/>
        <v>Epsom &amp; Ewell</v>
      </c>
    </row>
    <row r="67" spans="1:4" ht="15">
      <c r="A67" s="84">
        <v>3</v>
      </c>
      <c r="B67" s="50" t="str">
        <f>IF(VALUE(MID(Dec!$B$1,2,1))="","",VLOOKUP(VALUE(MID(Dec!$B$1,2,1)),M400m,4))</f>
        <v>R</v>
      </c>
      <c r="C67" s="51" t="str">
        <f>IF(B67="","",IF(LEN(B67)=2,VLOOKUP(E64,MSB,VLOOKUP(LEFT(B67,1),Teams,6,FALSE),FALSE),VLOOKUP(E64,MSA,VLOOKUP(B67,Teams,6,FALSE),FALSE)))</f>
        <v>David Pearson</v>
      </c>
      <c r="D67" s="51" t="str">
        <f t="shared" si="7"/>
        <v>Team Dorset</v>
      </c>
    </row>
    <row r="68" spans="1:4" ht="15">
      <c r="A68" s="84">
        <v>4</v>
      </c>
      <c r="B68" s="50" t="str">
        <f>IF(VALUE(MID(Dec!$B$1,2,1))="","",VLOOKUP(VALUE(MID(Dec!$B$1,2,1)),M400m,5))</f>
        <v>T</v>
      </c>
      <c r="C68" s="51" t="str">
        <f>IF(B68="","",IF(LEN(B68)=2,VLOOKUP(E64,MSB,VLOOKUP(LEFT(B68,1),Teams,6,FALSE),FALSE),VLOOKUP(E64,MSA,VLOOKUP(B68,Teams,6,FALSE),FALSE)))</f>
        <v>Henry Marshall</v>
      </c>
      <c r="D68" s="51" t="str">
        <f t="shared" si="7"/>
        <v>Tonbridge</v>
      </c>
    </row>
    <row r="69" spans="1:4" ht="15">
      <c r="A69" s="84">
        <v>5</v>
      </c>
      <c r="B69" s="50" t="str">
        <f>IF(VALUE(MID(Dec!$B$1,2,1))="","",VLOOKUP(VALUE(MID(Dec!$B$1,2,1)),M400m,6))</f>
        <v>YY</v>
      </c>
      <c r="C69" s="51" t="str">
        <f>IF(B69="","",IF(LEN(B69)=2,VLOOKUP(E64,MSB,VLOOKUP(LEFT(B69,1),Teams,6,FALSE),FALSE),VLOOKUP(E64,MSA,VLOOKUP(B69,Teams,6,FALSE),FALSE)))</f>
        <v>Owen Wyeth</v>
      </c>
      <c r="D69" s="51" t="str">
        <f t="shared" si="7"/>
        <v>Crawley</v>
      </c>
    </row>
    <row r="70" spans="1:4" ht="15">
      <c r="A70" s="84">
        <v>6</v>
      </c>
      <c r="B70" s="50" t="str">
        <f>IF(VALUE(MID(Dec!$B$1,2,1))="","",VLOOKUP(VALUE(MID(Dec!$B$1,2,1)),M400m,7))</f>
        <v>EE</v>
      </c>
      <c r="C70" s="51" t="str">
        <f>IF(B70="","",IF(LEN(B70)=2,VLOOKUP(E64,MSB,VLOOKUP(LEFT(B70,1),Teams,6,FALSE),FALSE),VLOOKUP(E64,MSA,VLOOKUP(B70,Teams,6,FALSE),FALSE)))</f>
        <v>Jack Amselem</v>
      </c>
      <c r="D70" s="51" t="str">
        <f t="shared" si="7"/>
        <v>Epsom &amp; Ewell</v>
      </c>
    </row>
    <row r="71" spans="1:4" ht="15">
      <c r="A71" s="84">
        <v>7</v>
      </c>
      <c r="B71" s="50" t="str">
        <f>IF(VALUE(MID(Dec!$B$1,2,1))="","",VLOOKUP(VALUE(MID(Dec!$B$1,2,1)),M400m,8))</f>
        <v>RR</v>
      </c>
      <c r="C71" s="51" t="str">
        <f>IF(B71="","",IF(LEN(B71)=2,VLOOKUP(E64,MSB,VLOOKUP(LEFT(B71,1),Teams,6,FALSE),FALSE),VLOOKUP(E64,MSA,VLOOKUP(B71,Teams,6,FALSE),FALSE)))</f>
        <v>Glyn Davies</v>
      </c>
      <c r="D71" s="51" t="str">
        <f t="shared" si="7"/>
        <v>Team Dorset</v>
      </c>
    </row>
    <row r="72" spans="1:4" ht="15">
      <c r="A72" s="84">
        <v>8</v>
      </c>
      <c r="B72" s="50" t="str">
        <f>IF(VALUE(MID(Dec!$B$1,2,1))="","",VLOOKUP(VALUE(MID(Dec!$B$1,2,1)),M400m,9))</f>
        <v>TT</v>
      </c>
      <c r="C72" s="51" t="str">
        <f>IF(B72="","",IF(LEN(B72)=2,VLOOKUP(E64,MSB,VLOOKUP(LEFT(B72,1),Teams,6,FALSE),FALSE),VLOOKUP(E64,MSA,VLOOKUP(B72,Teams,6,FALSE),FALSE)))</f>
        <v>Tom Cox</v>
      </c>
      <c r="D72" s="51" t="str">
        <f t="shared" si="7"/>
        <v>Tonbridge</v>
      </c>
    </row>
    <row r="73" spans="1:5" ht="12.75">
      <c r="A73" s="82" t="s">
        <v>886</v>
      </c>
      <c r="C73" s="83" t="s">
        <v>895</v>
      </c>
      <c r="D73" s="89">
        <v>0.06944444444444443</v>
      </c>
      <c r="E73" s="87" t="s">
        <v>857</v>
      </c>
    </row>
    <row r="74" spans="1:4" ht="15">
      <c r="A74" s="84">
        <v>1</v>
      </c>
      <c r="B74" s="50" t="str">
        <f>IF(VALUE(MID(Dec!$B$1,2,1))="","",VLOOKUP(VALUE(MID(Dec!$B$1,2,1)),W3000m,2))</f>
        <v>T</v>
      </c>
      <c r="C74" s="51" t="str">
        <f>IF(B74="","",IF(LEN(B74)=2,VLOOKUP(E73,WSB,VLOOKUP(LEFT(B74,1),Teams,6,FALSE),FALSE),VLOOKUP(E73,WSA,VLOOKUP(B74,Teams,6,FALSE),FALSE)))</f>
        <v>Emily Hale</v>
      </c>
      <c r="D74" s="51" t="str">
        <f aca="true" t="shared" si="8" ref="D74:D81">IF(B74="","",VLOOKUP(LEFT(B74,1),Teams,2,FALSE))</f>
        <v>Tonbridge</v>
      </c>
    </row>
    <row r="75" spans="1:4" ht="15">
      <c r="A75" s="84">
        <v>2</v>
      </c>
      <c r="B75" s="50" t="str">
        <f>IF(VALUE(MID(Dec!$B$1,2,1))="","",VLOOKUP(VALUE(MID(Dec!$B$1,2,1)),W3000m,3))</f>
        <v>E</v>
      </c>
      <c r="C75" s="51" t="str">
        <f>IF(B75="","",IF(LEN(B75)=2,VLOOKUP(E73,WSB,VLOOKUP(LEFT(B75,1),Teams,6,FALSE),FALSE),VLOOKUP(E73,WSA,VLOOKUP(B75,Teams,6,FALSE),FALSE)))</f>
        <v>Emily Alden</v>
      </c>
      <c r="D75" s="51" t="str">
        <f t="shared" si="8"/>
        <v>Epsom &amp; Ewell</v>
      </c>
    </row>
    <row r="76" spans="1:4" ht="15">
      <c r="A76" s="84">
        <v>3</v>
      </c>
      <c r="B76" s="50" t="str">
        <f>IF(VALUE(MID(Dec!$B$1,2,1))="","",VLOOKUP(VALUE(MID(Dec!$B$1,2,1)),W3000m,4))</f>
        <v>R</v>
      </c>
      <c r="C76" s="51" t="str">
        <f>IF(B76="","",IF(LEN(B76)=2,VLOOKUP(E73,WSB,VLOOKUP(LEFT(B76,1),Teams,6,FALSE),FALSE),VLOOKUP(E73,WSA,VLOOKUP(B76,Teams,6,FALSE),FALSE)))</f>
        <v>Sarah Orr</v>
      </c>
      <c r="D76" s="51" t="str">
        <f t="shared" si="8"/>
        <v>Team Dorset</v>
      </c>
    </row>
    <row r="77" spans="1:4" ht="15">
      <c r="A77" s="84">
        <v>4</v>
      </c>
      <c r="B77" s="50" t="str">
        <f>IF(VALUE(MID(Dec!$B$1,2,1))="","",VLOOKUP(VALUE(MID(Dec!$B$1,2,1)),W3000m,5))</f>
        <v>Y</v>
      </c>
      <c r="C77" s="51" t="str">
        <f>IF(B77="","",IF(LEN(B77)=2,VLOOKUP(E73,WSB,VLOOKUP(LEFT(B77,1),Teams,6,FALSE),FALSE),VLOOKUP(E73,WSA,VLOOKUP(B77,Teams,6,FALSE),FALSE)))</f>
        <v>-</v>
      </c>
      <c r="D77" s="51" t="str">
        <f t="shared" si="8"/>
        <v>Crawley</v>
      </c>
    </row>
    <row r="78" spans="1:4" ht="15">
      <c r="A78" s="84">
        <v>5</v>
      </c>
      <c r="B78" s="50" t="str">
        <f>IF(VALUE(MID(Dec!$B$1,2,1))="","",VLOOKUP(VALUE(MID(Dec!$B$1,2,1)),W3000m,6))</f>
        <v>TT</v>
      </c>
      <c r="C78" s="51" t="str">
        <f>IF(B78="","",IF(LEN(B78)=2,VLOOKUP(E73,WSB,VLOOKUP(LEFT(B78,1),Teams,6,FALSE),FALSE),VLOOKUP(E73,WSA,VLOOKUP(B78,Teams,6,FALSE),FALSE)))</f>
        <v>Jayne Mallyon</v>
      </c>
      <c r="D78" s="51" t="str">
        <f t="shared" si="8"/>
        <v>Tonbridge</v>
      </c>
    </row>
    <row r="79" spans="1:4" ht="15">
      <c r="A79" s="84">
        <v>6</v>
      </c>
      <c r="B79" s="50" t="str">
        <f>IF(VALUE(MID(Dec!$B$1,2,1))="","",VLOOKUP(VALUE(MID(Dec!$B$1,2,1)),W3000m,7))</f>
        <v>EE</v>
      </c>
      <c r="C79" s="51" t="str">
        <f>IF(B79="","",IF(LEN(B79)=2,VLOOKUP(E73,WSB,VLOOKUP(LEFT(B79,1),Teams,6,FALSE),FALSE),VLOOKUP(E73,WSA,VLOOKUP(B79,Teams,6,FALSE),FALSE)))</f>
        <v>Charlotte Mason</v>
      </c>
      <c r="D79" s="51" t="str">
        <f t="shared" si="8"/>
        <v>Epsom &amp; Ewell</v>
      </c>
    </row>
    <row r="80" spans="1:4" ht="15">
      <c r="A80" s="84">
        <v>7</v>
      </c>
      <c r="B80" s="50" t="str">
        <f>IF(VALUE(MID(Dec!$B$1,2,1))="","",VLOOKUP(VALUE(MID(Dec!$B$1,2,1)),W3000m,8))</f>
        <v>RR</v>
      </c>
      <c r="C80" s="51">
        <f>IF(B80="","",IF(LEN(B80)=2,VLOOKUP(E73,WSB,VLOOKUP(LEFT(B80,1),Teams,6,FALSE),FALSE),VLOOKUP(E73,WSA,VLOOKUP(B80,Teams,6,FALSE),FALSE)))</f>
        <v>0</v>
      </c>
      <c r="D80" s="51" t="str">
        <f t="shared" si="8"/>
        <v>Team Dorset</v>
      </c>
    </row>
    <row r="81" spans="1:4" ht="15">
      <c r="A81" s="84">
        <v>8</v>
      </c>
      <c r="B81" s="50" t="str">
        <f>IF(VALUE(MID(Dec!$B$1,2,1))="","",VLOOKUP(VALUE(MID(Dec!$B$1,2,1)),W3000m,9))</f>
        <v>YY</v>
      </c>
      <c r="C81" s="51" t="str">
        <f>IF(B81="","",IF(LEN(B81)=2,VLOOKUP(E73,WSB,VLOOKUP(LEFT(B81,1),Teams,6,FALSE),FALSE),VLOOKUP(E73,WSA,VLOOKUP(B81,Teams,6,FALSE),FALSE)))</f>
        <v>-</v>
      </c>
      <c r="D81" s="51" t="str">
        <f t="shared" si="8"/>
        <v>Crawley</v>
      </c>
    </row>
    <row r="82" spans="1:5" ht="12.75">
      <c r="A82" s="82" t="s">
        <v>886</v>
      </c>
      <c r="B82" s="81"/>
      <c r="C82" s="85" t="s">
        <v>896</v>
      </c>
      <c r="D82" s="89">
        <v>0.08333333333333333</v>
      </c>
      <c r="E82" t="s">
        <v>860</v>
      </c>
    </row>
    <row r="83" spans="1:4" ht="15">
      <c r="A83" s="84">
        <v>1</v>
      </c>
      <c r="B83" s="50" t="str">
        <f>IF(VALUE(MID(Dec!$B$1,2,1))="","",VLOOKUP(VALUE(MID(Dec!$B$1,2,1)),W100mH,2))</f>
        <v>E</v>
      </c>
      <c r="C83" s="51" t="str">
        <f>IF(B83="","",IF(LEN(B83)=2,VLOOKUP(E82,WSB,VLOOKUP(LEFT(B83,1),Teams,6,FALSE),FALSE),VLOOKUP(E82,WSA,VLOOKUP(B83,Teams,6,FALSE),FALSE)))</f>
        <v>Lizzie Thompson</v>
      </c>
      <c r="D83" s="51" t="str">
        <f aca="true" t="shared" si="9" ref="D83:D90">IF(B83="","",VLOOKUP(LEFT(B83,1),Teams,2,FALSE))</f>
        <v>Epsom &amp; Ewell</v>
      </c>
    </row>
    <row r="84" spans="1:4" ht="15">
      <c r="A84" s="84">
        <v>2</v>
      </c>
      <c r="B84" s="50" t="str">
        <f>IF(VALUE(MID(Dec!$B$1,2,1))="","",VLOOKUP(VALUE(MID(Dec!$B$1,2,1)),W100mH,3))</f>
        <v>R</v>
      </c>
      <c r="C84" s="51">
        <f>IF(B84="","",IF(LEN(B84)=2,VLOOKUP(E82,WSB,VLOOKUP(LEFT(B84,1),Teams,6,FALSE),FALSE),VLOOKUP(E82,WSA,VLOOKUP(B84,Teams,6,FALSE),FALSE)))</f>
        <v>0</v>
      </c>
      <c r="D84" s="51" t="str">
        <f t="shared" si="9"/>
        <v>Team Dorset</v>
      </c>
    </row>
    <row r="85" spans="1:4" ht="15">
      <c r="A85" s="84">
        <v>3</v>
      </c>
      <c r="B85" s="50" t="str">
        <f>IF(VALUE(MID(Dec!$B$1,2,1))="","",VLOOKUP(VALUE(MID(Dec!$B$1,2,1)),W100mH,4))</f>
        <v>Y</v>
      </c>
      <c r="C85" s="51" t="str">
        <f>IF(B85="","",IF(LEN(B85)=2,VLOOKUP(E82,WSB,VLOOKUP(LEFT(B85,1),Teams,6,FALSE),FALSE),VLOOKUP(E82,WSA,VLOOKUP(B85,Teams,6,FALSE),FALSE)))</f>
        <v>Jo Rowland</v>
      </c>
      <c r="D85" s="51" t="str">
        <f t="shared" si="9"/>
        <v>Crawley</v>
      </c>
    </row>
    <row r="86" spans="1:4" ht="15">
      <c r="A86" s="84">
        <v>4</v>
      </c>
      <c r="B86" s="50" t="str">
        <f>IF(VALUE(MID(Dec!$B$1,2,1))="","",VLOOKUP(VALUE(MID(Dec!$B$1,2,1)),W100mH,5))</f>
        <v>T</v>
      </c>
      <c r="C86" s="51" t="str">
        <f>IF(B86="","",IF(LEN(B86)=2,VLOOKUP(E82,WSB,VLOOKUP(LEFT(B86,1),Teams,6,FALSE),FALSE),VLOOKUP(E82,WSA,VLOOKUP(B86,Teams,6,FALSE),FALSE)))</f>
        <v>Laura Baliman</v>
      </c>
      <c r="D86" s="51" t="str">
        <f t="shared" si="9"/>
        <v>Tonbridge</v>
      </c>
    </row>
    <row r="87" spans="1:4" ht="15">
      <c r="A87" s="84">
        <v>5</v>
      </c>
      <c r="B87" s="50" t="str">
        <f>IF(VALUE(MID(Dec!$B$1,2,1))="","",VLOOKUP(VALUE(MID(Dec!$B$1,2,1)),W100mH,6))</f>
        <v>EE</v>
      </c>
      <c r="C87" s="51" t="str">
        <f>IF(B87="","",IF(LEN(B87)=2,VLOOKUP(E82,WSB,VLOOKUP(LEFT(B87,1),Teams,6,FALSE),FALSE),VLOOKUP(E82,WSA,VLOOKUP(B87,Teams,6,FALSE),FALSE)))</f>
        <v>-</v>
      </c>
      <c r="D87" s="51" t="str">
        <f t="shared" si="9"/>
        <v>Epsom &amp; Ewell</v>
      </c>
    </row>
    <row r="88" spans="1:4" ht="15">
      <c r="A88" s="84">
        <v>6</v>
      </c>
      <c r="B88" s="50" t="str">
        <f>IF(VALUE(MID(Dec!$B$1,2,1))="","",VLOOKUP(VALUE(MID(Dec!$B$1,2,1)),W100mH,7))</f>
        <v>RR</v>
      </c>
      <c r="C88" s="51">
        <f>IF(B88="","",IF(LEN(B88)=2,VLOOKUP(E82,WSB,VLOOKUP(LEFT(B88,1),Teams,6,FALSE),FALSE),VLOOKUP(E82,WSA,VLOOKUP(B88,Teams,6,FALSE),FALSE)))</f>
        <v>0</v>
      </c>
      <c r="D88" s="51" t="str">
        <f t="shared" si="9"/>
        <v>Team Dorset</v>
      </c>
    </row>
    <row r="89" spans="1:4" ht="15">
      <c r="A89" s="84">
        <v>7</v>
      </c>
      <c r="B89" s="50" t="str">
        <f>IF(VALUE(MID(Dec!$B$1,2,1))="","",VLOOKUP(VALUE(MID(Dec!$B$1,2,1)),W100mH,8))</f>
        <v>YY</v>
      </c>
      <c r="C89" s="51" t="str">
        <f>IF(B89="","",IF(LEN(B89)=2,VLOOKUP(E82,WSB,VLOOKUP(LEFT(B89,1),Teams,6,FALSE),FALSE),VLOOKUP(E82,WSA,VLOOKUP(B89,Teams,6,FALSE),FALSE)))</f>
        <v>Becky Owen</v>
      </c>
      <c r="D89" s="51" t="str">
        <f t="shared" si="9"/>
        <v>Crawley</v>
      </c>
    </row>
    <row r="90" spans="1:4" ht="15">
      <c r="A90" s="84">
        <v>8</v>
      </c>
      <c r="B90" s="50" t="str">
        <f>IF(VALUE(MID(Dec!$B$1,2,1))="","",VLOOKUP(VALUE(MID(Dec!$B$1,2,1)),W100mH,9))</f>
        <v>TT</v>
      </c>
      <c r="C90" s="51" t="str">
        <f>IF(B90="","",IF(LEN(B90)=2,VLOOKUP(E82,WSB,VLOOKUP(LEFT(B90,1),Teams,6,FALSE),FALSE),VLOOKUP(E82,WSA,VLOOKUP(B90,Teams,6,FALSE),FALSE)))</f>
        <v>Joanne Ware</v>
      </c>
      <c r="D90" s="51" t="str">
        <f t="shared" si="9"/>
        <v>Tonbridge</v>
      </c>
    </row>
    <row r="91" spans="1:5" ht="12.75">
      <c r="A91" s="82" t="s">
        <v>886</v>
      </c>
      <c r="C91" s="83" t="str">
        <f>"Men's "&amp;IF(INT(VALUE(MID(Dec!$B$1,2,1))/2)*2=VALUE(MID(Dec!$B$1,2,1)),"3000m","5000m")</f>
        <v>Men's 5000m</v>
      </c>
      <c r="D91" s="89">
        <v>0.09375</v>
      </c>
      <c r="E91" s="87" t="str">
        <f>IF(INT(VALUE(MID(Dec!$B$1,2,1))/2)*2=VALUE(MID(Dec!$B$1,2,1)),"3000","5000")</f>
        <v>5000</v>
      </c>
    </row>
    <row r="92" spans="1:4" ht="15">
      <c r="A92" s="84">
        <v>1</v>
      </c>
      <c r="B92" s="50" t="str">
        <f>IF(VALUE(MID(Dec!$B$1,2,1))="","",VLOOKUP(VALUE(MID(Dec!$B$1,2,1)),M5000m,2))</f>
        <v>T</v>
      </c>
      <c r="C92" s="51" t="str">
        <f>IF(B92="","",IF(LEN(B92)=2,VLOOKUP(E91,MSB,VLOOKUP(LEFT(B92,1),Teams,6,FALSE),FALSE),VLOOKUP(E91,MSA,VLOOKUP(B92,Teams,6,FALSE),FALSE)))</f>
        <v>Ben Cole</v>
      </c>
      <c r="D92" s="51" t="str">
        <f aca="true" t="shared" si="10" ref="D92:D99">IF(B92="","",VLOOKUP(LEFT(B92,1),Teams,2,FALSE))</f>
        <v>Tonbridge</v>
      </c>
    </row>
    <row r="93" spans="1:4" ht="15">
      <c r="A93" s="84">
        <v>2</v>
      </c>
      <c r="B93" s="50" t="str">
        <f>IF(VALUE(MID(Dec!$B$1,2,1))="","",VLOOKUP(VALUE(MID(Dec!$B$1,2,1)),M5000m,3))</f>
        <v>Y</v>
      </c>
      <c r="C93" s="51" t="str">
        <f>IF(B93="","",IF(LEN(B93)=2,VLOOKUP(E91,MSB,VLOOKUP(LEFT(B93,1),Teams,6,FALSE),FALSE),VLOOKUP(E91,MSA,VLOOKUP(B93,Teams,6,FALSE),FALSE)))</f>
        <v>Chris Pratt</v>
      </c>
      <c r="D93" s="51" t="str">
        <f t="shared" si="10"/>
        <v>Crawley</v>
      </c>
    </row>
    <row r="94" spans="1:4" ht="15">
      <c r="A94" s="84">
        <v>3</v>
      </c>
      <c r="B94" s="50" t="str">
        <f>IF(VALUE(MID(Dec!$B$1,2,1))="","",VLOOKUP(VALUE(MID(Dec!$B$1,2,1)),M5000m,4))</f>
        <v>E</v>
      </c>
      <c r="C94" s="51" t="str">
        <f>IF(B94="","",IF(LEN(B94)=2,VLOOKUP(E91,MSB,VLOOKUP(LEFT(B94,1),Teams,6,FALSE),FALSE),VLOOKUP(E91,MSA,VLOOKUP(B94,Teams,6,FALSE),FALSE)))</f>
        <v>Ollie Garrod</v>
      </c>
      <c r="D94" s="51" t="str">
        <f t="shared" si="10"/>
        <v>Epsom &amp; Ewell</v>
      </c>
    </row>
    <row r="95" spans="1:4" ht="15">
      <c r="A95" s="84">
        <v>4</v>
      </c>
      <c r="B95" s="50" t="str">
        <f>IF(VALUE(MID(Dec!$B$1,2,1))="","",VLOOKUP(VALUE(MID(Dec!$B$1,2,1)),M5000m,5))</f>
        <v>R</v>
      </c>
      <c r="C95" s="51" t="str">
        <f>IF(B95="","",IF(LEN(B95)=2,VLOOKUP(E91,MSB,VLOOKUP(LEFT(B95,1),Teams,6,FALSE),FALSE),VLOOKUP(E91,MSA,VLOOKUP(B95,Teams,6,FALSE),FALSE)))</f>
        <v>Andrew Dumbrell</v>
      </c>
      <c r="D95" s="51" t="str">
        <f t="shared" si="10"/>
        <v>Team Dorset</v>
      </c>
    </row>
    <row r="96" spans="1:4" ht="15">
      <c r="A96" s="84">
        <v>5</v>
      </c>
      <c r="B96" s="50" t="str">
        <f>IF(VALUE(MID(Dec!$B$1,2,1))="","",VLOOKUP(VALUE(MID(Dec!$B$1,2,1)),M5000m,6))</f>
        <v>TT</v>
      </c>
      <c r="C96" s="51" t="str">
        <f>IF(B96="","",IF(LEN(B96)=2,VLOOKUP(E91,MSB,VLOOKUP(LEFT(B96,1),Teams,6,FALSE),FALSE),VLOOKUP(E91,MSA,VLOOKUP(B96,Teams,6,FALSE),FALSE)))</f>
        <v>Harry Paton</v>
      </c>
      <c r="D96" s="51" t="str">
        <f t="shared" si="10"/>
        <v>Tonbridge</v>
      </c>
    </row>
    <row r="97" spans="1:4" ht="15">
      <c r="A97" s="84">
        <v>6</v>
      </c>
      <c r="B97" s="50" t="str">
        <f>IF(VALUE(MID(Dec!$B$1,2,1))="","",VLOOKUP(VALUE(MID(Dec!$B$1,2,1)),M5000m,7))</f>
        <v>YY</v>
      </c>
      <c r="C97" s="51" t="str">
        <f>IF(B97="","",IF(LEN(B97)=2,VLOOKUP(E91,MSB,VLOOKUP(LEFT(B97,1),Teams,6,FALSE),FALSE),VLOOKUP(E91,MSA,VLOOKUP(B97,Teams,6,FALSE),FALSE)))</f>
        <v>Tim Ellis </v>
      </c>
      <c r="D97" s="51" t="str">
        <f t="shared" si="10"/>
        <v>Crawley</v>
      </c>
    </row>
    <row r="98" spans="1:4" ht="15">
      <c r="A98" s="84">
        <v>7</v>
      </c>
      <c r="B98" s="50" t="str">
        <f>IF(VALUE(MID(Dec!$B$1,2,1))="","",VLOOKUP(VALUE(MID(Dec!$B$1,2,1)),M5000m,8))</f>
        <v>EE</v>
      </c>
      <c r="C98" s="51" t="str">
        <f>IF(B98="","",IF(LEN(B98)=2,VLOOKUP(E91,MSB,VLOOKUP(LEFT(B98,1),Teams,6,FALSE),FALSE),VLOOKUP(E91,MSA,VLOOKUP(B98,Teams,6,FALSE),FALSE)))</f>
        <v>Stuart Flack</v>
      </c>
      <c r="D98" s="51" t="str">
        <f t="shared" si="10"/>
        <v>Epsom &amp; Ewell</v>
      </c>
    </row>
    <row r="99" spans="1:4" ht="15">
      <c r="A99" s="84">
        <v>8</v>
      </c>
      <c r="B99" s="50" t="str">
        <f>IF(VALUE(MID(Dec!$B$1,2,1))="","",VLOOKUP(VALUE(MID(Dec!$B$1,2,1)),M5000m,9))</f>
        <v>RR</v>
      </c>
      <c r="C99" s="51" t="str">
        <f>IF(B99="","",IF(LEN(B99)=2,VLOOKUP(E91,MSB,VLOOKUP(LEFT(B99,1),Teams,6,FALSE),FALSE),VLOOKUP(E91,MSA,VLOOKUP(B99,Teams,6,FALSE),FALSE)))</f>
        <v>Piers Copeland</v>
      </c>
      <c r="D99" s="51" t="str">
        <f t="shared" si="10"/>
        <v>Team Dorset</v>
      </c>
    </row>
    <row r="100" spans="1:5" ht="12.75">
      <c r="A100" s="82" t="s">
        <v>886</v>
      </c>
      <c r="B100" s="81"/>
      <c r="C100" s="85" t="s">
        <v>897</v>
      </c>
      <c r="D100" s="89">
        <v>0.11458333333333333</v>
      </c>
      <c r="E100" t="s">
        <v>987</v>
      </c>
    </row>
    <row r="101" spans="1:4" ht="15">
      <c r="A101" s="84">
        <v>1</v>
      </c>
      <c r="B101" s="50" t="str">
        <f>IF(VALUE(MID(Dec!$B$1,2,1))="","",VLOOKUP(VALUE(MID(Dec!$B$1,2,1)),M110mH,2))</f>
        <v>Y</v>
      </c>
      <c r="C101" s="51" t="str">
        <f>IF(B101="","",IF(LEN(B101)=2,VLOOKUP(E100,MSB,VLOOKUP(LEFT(B101,1),Teams,6,FALSE),FALSE),VLOOKUP(E100,MSA,VLOOKUP(B101,Teams,6,FALSE),FALSE)))</f>
        <v>Richard Reeks</v>
      </c>
      <c r="D101" s="51" t="str">
        <f aca="true" t="shared" si="11" ref="D101:D108">IF(B101="","",VLOOKUP(LEFT(B101,1),Teams,2,FALSE))</f>
        <v>Crawley</v>
      </c>
    </row>
    <row r="102" spans="1:4" ht="15">
      <c r="A102" s="84">
        <v>2</v>
      </c>
      <c r="B102" s="50" t="str">
        <f>IF(VALUE(MID(Dec!$B$1,2,1))="","",VLOOKUP(VALUE(MID(Dec!$B$1,2,1)),M110mH,3))</f>
        <v>R</v>
      </c>
      <c r="C102" s="51" t="str">
        <f>IF(B102="","",IF(LEN(B102)=2,VLOOKUP(E100,MSB,VLOOKUP(LEFT(B102,1),Teams,6,FALSE),FALSE),VLOOKUP(E100,MSA,VLOOKUP(B102,Teams,6,FALSE),FALSE)))</f>
        <v>David Pearson</v>
      </c>
      <c r="D102" s="51" t="str">
        <f t="shared" si="11"/>
        <v>Team Dorset</v>
      </c>
    </row>
    <row r="103" spans="1:4" ht="15">
      <c r="A103" s="84">
        <v>3</v>
      </c>
      <c r="B103" s="50" t="str">
        <f>IF(VALUE(MID(Dec!$B$1,2,1))="","",VLOOKUP(VALUE(MID(Dec!$B$1,2,1)),M110mH,4))</f>
        <v>T</v>
      </c>
      <c r="C103" s="51" t="str">
        <f>IF(B103="","",IF(LEN(B103)=2,VLOOKUP(E100,MSB,VLOOKUP(LEFT(B103,1),Teams,6,FALSE),FALSE),VLOOKUP(E100,MSA,VLOOKUP(B103,Teams,6,FALSE),FALSE)))</f>
        <v>Neil Woodfine</v>
      </c>
      <c r="D103" s="51" t="str">
        <f t="shared" si="11"/>
        <v>Tonbridge</v>
      </c>
    </row>
    <row r="104" spans="1:4" ht="15">
      <c r="A104" s="84">
        <v>4</v>
      </c>
      <c r="B104" s="50" t="str">
        <f>IF(VALUE(MID(Dec!$B$1,2,1))="","",VLOOKUP(VALUE(MID(Dec!$B$1,2,1)),M110mH,5))</f>
        <v>E</v>
      </c>
      <c r="C104" s="51" t="str">
        <f>IF(B104="","",IF(LEN(B104)=2,VLOOKUP(E100,MSB,VLOOKUP(LEFT(B104,1),Teams,6,FALSE),FALSE),VLOOKUP(E100,MSA,VLOOKUP(B104,Teams,6,FALSE),FALSE)))</f>
        <v>Martin Lay</v>
      </c>
      <c r="D104" s="51" t="str">
        <f t="shared" si="11"/>
        <v>Epsom &amp; Ewell</v>
      </c>
    </row>
    <row r="105" spans="1:4" ht="15">
      <c r="A105" s="84">
        <v>5</v>
      </c>
      <c r="B105" s="50" t="str">
        <f>IF(VALUE(MID(Dec!$B$1,2,1))="","",VLOOKUP(VALUE(MID(Dec!$B$1,2,1)),M110mH,6))</f>
        <v>YY</v>
      </c>
      <c r="C105" s="51" t="str">
        <f>IF(B105="","",IF(LEN(B105)=2,VLOOKUP(E100,MSB,VLOOKUP(LEFT(B105,1),Teams,6,FALSE),FALSE),VLOOKUP(E100,MSA,VLOOKUP(B105,Teams,6,FALSE),FALSE)))</f>
        <v>George Grainger </v>
      </c>
      <c r="D105" s="51" t="str">
        <f t="shared" si="11"/>
        <v>Crawley</v>
      </c>
    </row>
    <row r="106" spans="1:4" ht="15">
      <c r="A106" s="84">
        <v>6</v>
      </c>
      <c r="B106" s="50" t="str">
        <f>IF(VALUE(MID(Dec!$B$1,2,1))="","",VLOOKUP(VALUE(MID(Dec!$B$1,2,1)),M110mH,7))</f>
        <v>RR</v>
      </c>
      <c r="C106" s="51">
        <f>IF(B106="","",IF(LEN(B106)=2,VLOOKUP(E100,MSB,VLOOKUP(LEFT(B106,1),Teams,6,FALSE),FALSE),VLOOKUP(E100,MSA,VLOOKUP(B106,Teams,6,FALSE),FALSE)))</f>
        <v>0</v>
      </c>
      <c r="D106" s="51" t="str">
        <f t="shared" si="11"/>
        <v>Team Dorset</v>
      </c>
    </row>
    <row r="107" spans="1:4" ht="15">
      <c r="A107" s="84">
        <v>7</v>
      </c>
      <c r="B107" s="50" t="str">
        <f>IF(VALUE(MID(Dec!$B$1,2,1))="","",VLOOKUP(VALUE(MID(Dec!$B$1,2,1)),M110mH,8))</f>
        <v>TT</v>
      </c>
      <c r="C107" s="51" t="str">
        <f>IF(B107="","",IF(LEN(B107)=2,VLOOKUP(E100,MSB,VLOOKUP(LEFT(B107,1),Teams,6,FALSE),FALSE),VLOOKUP(E100,MSA,VLOOKUP(B107,Teams,6,FALSE),FALSE)))</f>
        <v>Aaron Waterman</v>
      </c>
      <c r="D107" s="51" t="str">
        <f t="shared" si="11"/>
        <v>Tonbridge</v>
      </c>
    </row>
    <row r="108" spans="1:4" ht="15">
      <c r="A108" s="84">
        <v>8</v>
      </c>
      <c r="B108" s="50" t="str">
        <f>IF(VALUE(MID(Dec!$B$1,2,1))="","",VLOOKUP(VALUE(MID(Dec!$B$1,2,1)),M110mH,9))</f>
        <v>EE</v>
      </c>
      <c r="C108" s="51">
        <f>IF(B108="","",IF(LEN(B108)=2,VLOOKUP(E100,MSB,VLOOKUP(LEFT(B108,1),Teams,6,FALSE),FALSE),VLOOKUP(E100,MSA,VLOOKUP(B108,Teams,6,FALSE),FALSE)))</f>
        <v>0</v>
      </c>
      <c r="D108" s="51" t="str">
        <f t="shared" si="11"/>
        <v>Epsom &amp; Ewell</v>
      </c>
    </row>
    <row r="109" spans="1:5" ht="12.75">
      <c r="A109" s="82" t="s">
        <v>886</v>
      </c>
      <c r="C109" s="83" t="s">
        <v>898</v>
      </c>
      <c r="D109" s="89">
        <v>0.125</v>
      </c>
      <c r="E109" s="87" t="s">
        <v>982</v>
      </c>
    </row>
    <row r="110" spans="1:4" ht="15">
      <c r="A110" s="84">
        <v>1</v>
      </c>
      <c r="B110" s="50" t="str">
        <f>IF(VALUE(MID(Dec!$B$1,2,1))="","",VLOOKUP(VALUE(MID(Dec!$B$1,2,1)),W200m,2))</f>
        <v>R</v>
      </c>
      <c r="C110" s="51" t="str">
        <f>IF(B110="","",IF(LEN(B110)=2,VLOOKUP(E109,WSB,VLOOKUP(LEFT(B110,1),Teams,6,FALSE),FALSE),VLOOKUP(E109,WSA,VLOOKUP(B110,Teams,6,FALSE),FALSE)))</f>
        <v>Charlotte Offer</v>
      </c>
      <c r="D110" s="51" t="str">
        <f aca="true" t="shared" si="12" ref="D110:D117">IF(B110="","",VLOOKUP(LEFT(B110,1),Teams,2,FALSE))</f>
        <v>Team Dorset</v>
      </c>
    </row>
    <row r="111" spans="1:4" ht="15">
      <c r="A111" s="84">
        <v>2</v>
      </c>
      <c r="B111" s="50" t="str">
        <f>IF(VALUE(MID(Dec!$B$1,2,1))="","",VLOOKUP(VALUE(MID(Dec!$B$1,2,1)),W200m,3))</f>
        <v>E</v>
      </c>
      <c r="C111" s="51" t="str">
        <f>IF(B111="","",IF(LEN(B111)=2,VLOOKUP(E109,WSB,VLOOKUP(LEFT(B111,1),Teams,6,FALSE),FALSE),VLOOKUP(E109,WSA,VLOOKUP(B111,Teams,6,FALSE),FALSE)))</f>
        <v>Alex Potts</v>
      </c>
      <c r="D111" s="51" t="str">
        <f t="shared" si="12"/>
        <v>Epsom &amp; Ewell</v>
      </c>
    </row>
    <row r="112" spans="1:4" ht="15">
      <c r="A112" s="84">
        <v>3</v>
      </c>
      <c r="B112" s="50" t="str">
        <f>IF(VALUE(MID(Dec!$B$1,2,1))="","",VLOOKUP(VALUE(MID(Dec!$B$1,2,1)),W200m,4))</f>
        <v>Y</v>
      </c>
      <c r="C112" s="51" t="str">
        <f>IF(B112="","",IF(LEN(B112)=2,VLOOKUP(E109,WSB,VLOOKUP(LEFT(B112,1),Teams,6,FALSE),FALSE),VLOOKUP(E109,WSA,VLOOKUP(B112,Teams,6,FALSE),FALSE)))</f>
        <v>Taiye Musa</v>
      </c>
      <c r="D112" s="51" t="str">
        <f t="shared" si="12"/>
        <v>Crawley</v>
      </c>
    </row>
    <row r="113" spans="1:4" ht="15">
      <c r="A113" s="84">
        <v>4</v>
      </c>
      <c r="B113" s="50" t="str">
        <f>IF(VALUE(MID(Dec!$B$1,2,1))="","",VLOOKUP(VALUE(MID(Dec!$B$1,2,1)),W200m,5))</f>
        <v>T</v>
      </c>
      <c r="C113" s="51" t="str">
        <f>IF(B113="","",IF(LEN(B113)=2,VLOOKUP(E109,WSB,VLOOKUP(LEFT(B113,1),Teams,6,FALSE),FALSE),VLOOKUP(E109,WSA,VLOOKUP(B113,Teams,6,FALSE),FALSE)))</f>
        <v>Rose Hairs</v>
      </c>
      <c r="D113" s="51" t="str">
        <f t="shared" si="12"/>
        <v>Tonbridge</v>
      </c>
    </row>
    <row r="114" spans="1:4" ht="15">
      <c r="A114" s="84">
        <v>5</v>
      </c>
      <c r="B114" s="50" t="str">
        <f>IF(VALUE(MID(Dec!$B$1,2,1))="","",VLOOKUP(VALUE(MID(Dec!$B$1,2,1)),W200m,6))</f>
        <v>RR</v>
      </c>
      <c r="C114" s="51" t="str">
        <f>IF(B114="","",IF(LEN(B114)=2,VLOOKUP(E109,WSB,VLOOKUP(LEFT(B114,1),Teams,6,FALSE),FALSE),VLOOKUP(E109,WSA,VLOOKUP(B114,Teams,6,FALSE),FALSE)))</f>
        <v>Trudi Carter</v>
      </c>
      <c r="D114" s="51" t="str">
        <f t="shared" si="12"/>
        <v>Team Dorset</v>
      </c>
    </row>
    <row r="115" spans="1:4" ht="15">
      <c r="A115" s="84">
        <v>6</v>
      </c>
      <c r="B115" s="50" t="str">
        <f>IF(VALUE(MID(Dec!$B$1,2,1))="","",VLOOKUP(VALUE(MID(Dec!$B$1,2,1)),W200m,7))</f>
        <v>EE</v>
      </c>
      <c r="C115" s="51" t="str">
        <f>IF(B115="","",IF(LEN(B115)=2,VLOOKUP(E109,WSB,VLOOKUP(LEFT(B115,1),Teams,6,FALSE),FALSE),VLOOKUP(E109,WSA,VLOOKUP(B115,Teams,6,FALSE),FALSE)))</f>
        <v>Tamar Rennles</v>
      </c>
      <c r="D115" s="51" t="str">
        <f t="shared" si="12"/>
        <v>Epsom &amp; Ewell</v>
      </c>
    </row>
    <row r="116" spans="1:4" ht="15">
      <c r="A116" s="84">
        <v>7</v>
      </c>
      <c r="B116" s="50" t="str">
        <f>IF(VALUE(MID(Dec!$B$1,2,1))="","",VLOOKUP(VALUE(MID(Dec!$B$1,2,1)),W200m,8))</f>
        <v>YY</v>
      </c>
      <c r="C116" s="51" t="str">
        <f>IF(B116="","",IF(LEN(B116)=2,VLOOKUP(E109,WSB,VLOOKUP(LEFT(B116,1),Teams,6,FALSE),FALSE),VLOOKUP(E109,WSA,VLOOKUP(B116,Teams,6,FALSE),FALSE)))</f>
        <v>Alina Cheeseman</v>
      </c>
      <c r="D116" s="51" t="str">
        <f t="shared" si="12"/>
        <v>Crawley</v>
      </c>
    </row>
    <row r="117" spans="1:4" ht="15">
      <c r="A117" s="84">
        <v>8</v>
      </c>
      <c r="B117" s="50" t="str">
        <f>IF(VALUE(MID(Dec!$B$1,2,1))="","",VLOOKUP(VALUE(MID(Dec!$B$1,2,1)),W200m,9))</f>
        <v>TT</v>
      </c>
      <c r="C117" s="51" t="str">
        <f>IF(B117="","",IF(LEN(B117)=2,VLOOKUP(E109,WSB,VLOOKUP(LEFT(B117,1),Teams,6,FALSE),FALSE),VLOOKUP(E109,WSA,VLOOKUP(B117,Teams,6,FALSE),FALSE)))</f>
        <v>Jessica Murphy</v>
      </c>
      <c r="D117" s="51" t="str">
        <f t="shared" si="12"/>
        <v>Tonbridge</v>
      </c>
    </row>
    <row r="118" spans="1:5" ht="12.75">
      <c r="A118" s="82" t="s">
        <v>886</v>
      </c>
      <c r="B118" s="81"/>
      <c r="C118" s="85" t="s">
        <v>667</v>
      </c>
      <c r="D118" s="89">
        <v>0.13194444444444445</v>
      </c>
      <c r="E118" s="88" t="s">
        <v>982</v>
      </c>
    </row>
    <row r="119" spans="1:4" ht="15">
      <c r="A119" s="84">
        <v>1</v>
      </c>
      <c r="B119" s="50" t="str">
        <f>IF(VALUE(MID(Dec!$B$1,2,1))="","",VLOOKUP(VALUE(MID(Dec!$B$1,2,1)),M200m,2))</f>
        <v>E</v>
      </c>
      <c r="C119" s="51" t="str">
        <f>IF(B119="","",IF(LEN(B119)=2,VLOOKUP(E118,MSB,VLOOKUP(LEFT(B119,1),Teams,6,FALSE),FALSE),VLOOKUP(E118,MSA,VLOOKUP(B119,Teams,6,FALSE),FALSE)))</f>
        <v>Jordan Shaw</v>
      </c>
      <c r="D119" s="51" t="str">
        <f aca="true" t="shared" si="13" ref="D119:D126">IF(B119="","",VLOOKUP(LEFT(B119,1),Teams,2,FALSE))</f>
        <v>Epsom &amp; Ewell</v>
      </c>
    </row>
    <row r="120" spans="1:4" ht="15">
      <c r="A120" s="84">
        <v>2</v>
      </c>
      <c r="B120" s="50" t="str">
        <f>IF(VALUE(MID(Dec!$B$1,2,1))="","",VLOOKUP(VALUE(MID(Dec!$B$1,2,1)),M200m,3))</f>
        <v>Y</v>
      </c>
      <c r="C120" s="51" t="str">
        <f>IF(B120="","",IF(LEN(B120)=2,VLOOKUP(E118,MSB,VLOOKUP(LEFT(B120,1),Teams,6,FALSE),FALSE),VLOOKUP(E118,MSA,VLOOKUP(B120,Teams,6,FALSE),FALSE)))</f>
        <v>Rob Allan</v>
      </c>
      <c r="D120" s="51" t="str">
        <f t="shared" si="13"/>
        <v>Crawley</v>
      </c>
    </row>
    <row r="121" spans="1:4" ht="15">
      <c r="A121" s="84">
        <v>3</v>
      </c>
      <c r="B121" s="50" t="str">
        <f>IF(VALUE(MID(Dec!$B$1,2,1))="","",VLOOKUP(VALUE(MID(Dec!$B$1,2,1)),M200m,4))</f>
        <v>T</v>
      </c>
      <c r="C121" s="51" t="str">
        <f>IF(B121="","",IF(LEN(B121)=2,VLOOKUP(E118,MSB,VLOOKUP(LEFT(B121,1),Teams,6,FALSE),FALSE),VLOOKUP(E118,MSA,VLOOKUP(B121,Teams,6,FALSE),FALSE)))</f>
        <v>Ed Hall</v>
      </c>
      <c r="D121" s="51" t="str">
        <f t="shared" si="13"/>
        <v>Tonbridge</v>
      </c>
    </row>
    <row r="122" spans="1:4" ht="15">
      <c r="A122" s="84">
        <v>4</v>
      </c>
      <c r="B122" s="50" t="str">
        <f>IF(VALUE(MID(Dec!$B$1,2,1))="","",VLOOKUP(VALUE(MID(Dec!$B$1,2,1)),M200m,5))</f>
        <v>R</v>
      </c>
      <c r="C122" s="51" t="str">
        <f>IF(B122="","",IF(LEN(B122)=2,VLOOKUP(E118,MSB,VLOOKUP(LEFT(B122,1),Teams,6,FALSE),FALSE),VLOOKUP(E118,MSA,VLOOKUP(B122,Teams,6,FALSE),FALSE)))</f>
        <v>Aiden Turner</v>
      </c>
      <c r="D122" s="51" t="str">
        <f t="shared" si="13"/>
        <v>Team Dorset</v>
      </c>
    </row>
    <row r="123" spans="1:4" ht="15">
      <c r="A123" s="84">
        <v>5</v>
      </c>
      <c r="B123" s="50" t="str">
        <f>IF(VALUE(MID(Dec!$B$1,2,1))="","",VLOOKUP(VALUE(MID(Dec!$B$1,2,1)),M200m,6))</f>
        <v>EE</v>
      </c>
      <c r="C123" s="51" t="str">
        <f>IF(B123="","",IF(LEN(B123)=2,VLOOKUP(E118,MSB,VLOOKUP(LEFT(B123,1),Teams,6,FALSE),FALSE),VLOOKUP(E118,MSA,VLOOKUP(B123,Teams,6,FALSE),FALSE)))</f>
        <v>Jack Amselem</v>
      </c>
      <c r="D123" s="51" t="str">
        <f t="shared" si="13"/>
        <v>Epsom &amp; Ewell</v>
      </c>
    </row>
    <row r="124" spans="1:4" ht="15">
      <c r="A124" s="84">
        <v>6</v>
      </c>
      <c r="B124" s="50" t="str">
        <f>IF(VALUE(MID(Dec!$B$1,2,1))="","",VLOOKUP(VALUE(MID(Dec!$B$1,2,1)),M200m,7))</f>
        <v>YY</v>
      </c>
      <c r="C124" s="51" t="str">
        <f>IF(B124="","",IF(LEN(B124)=2,VLOOKUP(E118,MSB,VLOOKUP(LEFT(B124,1),Teams,6,FALSE),FALSE),VLOOKUP(E118,MSA,VLOOKUP(B124,Teams,6,FALSE),FALSE)))</f>
        <v>Tapiwanashe Mupfupi</v>
      </c>
      <c r="D124" s="51" t="str">
        <f t="shared" si="13"/>
        <v>Crawley</v>
      </c>
    </row>
    <row r="125" spans="1:4" ht="15">
      <c r="A125" s="84">
        <v>7</v>
      </c>
      <c r="B125" s="50" t="str">
        <f>IF(VALUE(MID(Dec!$B$1,2,1))="","",VLOOKUP(VALUE(MID(Dec!$B$1,2,1)),M200m,8))</f>
        <v>TT</v>
      </c>
      <c r="C125" s="51" t="str">
        <f>IF(B125="","",IF(LEN(B125)=2,VLOOKUP(E118,MSB,VLOOKUP(LEFT(B125,1),Teams,6,FALSE),FALSE),VLOOKUP(E118,MSA,VLOOKUP(B125,Teams,6,FALSE),FALSE)))</f>
        <v>Steven Tester</v>
      </c>
      <c r="D125" s="51" t="str">
        <f t="shared" si="13"/>
        <v>Tonbridge</v>
      </c>
    </row>
    <row r="126" spans="1:4" ht="15">
      <c r="A126" s="84">
        <v>8</v>
      </c>
      <c r="B126" s="50" t="str">
        <f>IF(VALUE(MID(Dec!$B$1,2,1))="","",VLOOKUP(VALUE(MID(Dec!$B$1,2,1)),M200m,9))</f>
        <v>RR</v>
      </c>
      <c r="C126" s="51" t="str">
        <f>IF(B126="","",IF(LEN(B126)=2,VLOOKUP(E118,MSB,VLOOKUP(LEFT(B126,1),Teams,6,FALSE),FALSE),VLOOKUP(E118,MSA,VLOOKUP(B126,Teams,6,FALSE),FALSE)))</f>
        <v>Jack Rees</v>
      </c>
      <c r="D126" s="51" t="str">
        <f t="shared" si="13"/>
        <v>Team Dorset</v>
      </c>
    </row>
    <row r="127" spans="1:5" ht="12.75">
      <c r="A127" s="82" t="s">
        <v>886</v>
      </c>
      <c r="C127" s="83" t="s">
        <v>668</v>
      </c>
      <c r="D127" s="89">
        <v>0.1388888888888889</v>
      </c>
      <c r="E127" s="87" t="s">
        <v>985</v>
      </c>
    </row>
    <row r="128" spans="1:4" ht="15">
      <c r="A128" s="84">
        <v>1</v>
      </c>
      <c r="B128" s="50" t="str">
        <f>IF(VALUE(MID(Dec!$B$1,2,1))="","",VLOOKUP(VALUE(MID(Dec!$B$1,2,1)),W1500m,2))</f>
        <v>R</v>
      </c>
      <c r="C128" s="51" t="str">
        <f>IF(B128="","",IF(LEN(B128)=2,VLOOKUP(E127,WSB,VLOOKUP(LEFT(B128,1),Teams,6,FALSE),FALSE),VLOOKUP(E127,WSA,VLOOKUP(B128,Teams,6,FALSE),FALSE)))</f>
        <v>Lizzie Hood</v>
      </c>
      <c r="D128" s="51" t="str">
        <f aca="true" t="shared" si="14" ref="D128:D135">IF(B128="","",VLOOKUP(LEFT(B128,1),Teams,2,FALSE))</f>
        <v>Team Dorset</v>
      </c>
    </row>
    <row r="129" spans="1:4" ht="15">
      <c r="A129" s="84">
        <v>2</v>
      </c>
      <c r="B129" s="50" t="str">
        <f>IF(VALUE(MID(Dec!$B$1,2,1))="","",VLOOKUP(VALUE(MID(Dec!$B$1,2,1)),W1500m,3))</f>
        <v>T</v>
      </c>
      <c r="C129" s="51" t="str">
        <f>IF(B129="","",IF(LEN(B129)=2,VLOOKUP(E127,WSB,VLOOKUP(LEFT(B129,1),Teams,6,FALSE),FALSE),VLOOKUP(E127,WSA,VLOOKUP(B129,Teams,6,FALSE),FALSE)))</f>
        <v>Alice Ralph</v>
      </c>
      <c r="D129" s="51" t="str">
        <f t="shared" si="14"/>
        <v>Tonbridge</v>
      </c>
    </row>
    <row r="130" spans="1:4" ht="15">
      <c r="A130" s="84">
        <v>3</v>
      </c>
      <c r="B130" s="50" t="str">
        <f>IF(VALUE(MID(Dec!$B$1,2,1))="","",VLOOKUP(VALUE(MID(Dec!$B$1,2,1)),W1500m,4))</f>
        <v>E</v>
      </c>
      <c r="C130" s="51" t="str">
        <f>IF(B130="","",IF(LEN(B130)=2,VLOOKUP(E127,WSB,VLOOKUP(LEFT(B130,1),Teams,6,FALSE),FALSE),VLOOKUP(E127,WSA,VLOOKUP(B130,Teams,6,FALSE),FALSE)))</f>
        <v>Emily Alden</v>
      </c>
      <c r="D130" s="51" t="str">
        <f t="shared" si="14"/>
        <v>Epsom &amp; Ewell</v>
      </c>
    </row>
    <row r="131" spans="1:4" ht="15">
      <c r="A131" s="84">
        <v>4</v>
      </c>
      <c r="B131" s="50" t="str">
        <f>IF(VALUE(MID(Dec!$B$1,2,1))="","",VLOOKUP(VALUE(MID(Dec!$B$1,2,1)),W1500m,5))</f>
        <v>Y</v>
      </c>
      <c r="C131" s="51" t="str">
        <f>IF(B131="","",IF(LEN(B131)=2,VLOOKUP(E127,WSB,VLOOKUP(LEFT(B131,1),Teams,6,FALSE),FALSE),VLOOKUP(E127,WSA,VLOOKUP(B131,Teams,6,FALSE),FALSE)))</f>
        <v>Rebecca Healey</v>
      </c>
      <c r="D131" s="51" t="str">
        <f t="shared" si="14"/>
        <v>Crawley</v>
      </c>
    </row>
    <row r="132" spans="1:4" ht="15">
      <c r="A132" s="84">
        <v>5</v>
      </c>
      <c r="B132" s="50" t="str">
        <f>IF(VALUE(MID(Dec!$B$1,2,1))="","",VLOOKUP(VALUE(MID(Dec!$B$1,2,1)),W1500m,6))</f>
        <v>RR</v>
      </c>
      <c r="C132" s="51" t="str">
        <f>IF(B132="","",IF(LEN(B132)=2,VLOOKUP(E127,WSB,VLOOKUP(LEFT(B132,1),Teams,6,FALSE),FALSE),VLOOKUP(E127,WSA,VLOOKUP(B132,Teams,6,FALSE),FALSE)))</f>
        <v>Maddy Williams </v>
      </c>
      <c r="D132" s="51" t="str">
        <f t="shared" si="14"/>
        <v>Team Dorset</v>
      </c>
    </row>
    <row r="133" spans="1:4" ht="15">
      <c r="A133" s="84">
        <v>6</v>
      </c>
      <c r="B133" s="50" t="str">
        <f>IF(VALUE(MID(Dec!$B$1,2,1))="","",VLOOKUP(VALUE(MID(Dec!$B$1,2,1)),W1500m,7))</f>
        <v>TT</v>
      </c>
      <c r="C133" s="51" t="str">
        <f>IF(B133="","",IF(LEN(B133)=2,VLOOKUP(E127,WSB,VLOOKUP(LEFT(B133,1),Teams,6,FALSE),FALSE),VLOOKUP(E127,WSA,VLOOKUP(B133,Teams,6,FALSE),FALSE)))</f>
        <v>Hannah Czarnowski</v>
      </c>
      <c r="D133" s="51" t="str">
        <f t="shared" si="14"/>
        <v>Tonbridge</v>
      </c>
    </row>
    <row r="134" spans="1:4" ht="15">
      <c r="A134" s="84">
        <v>7</v>
      </c>
      <c r="B134" s="50" t="str">
        <f>IF(VALUE(MID(Dec!$B$1,2,1))="","",VLOOKUP(VALUE(MID(Dec!$B$1,2,1)),W1500m,8))</f>
        <v>EE</v>
      </c>
      <c r="C134" s="51" t="str">
        <f>IF(B134="","",IF(LEN(B134)=2,VLOOKUP(E127,WSB,VLOOKUP(LEFT(B134,1),Teams,6,FALSE),FALSE),VLOOKUP(E127,WSA,VLOOKUP(B134,Teams,6,FALSE),FALSE)))</f>
        <v>Morgan Morrison</v>
      </c>
      <c r="D134" s="51" t="str">
        <f t="shared" si="14"/>
        <v>Epsom &amp; Ewell</v>
      </c>
    </row>
    <row r="135" spans="1:4" ht="15">
      <c r="A135" s="84">
        <v>8</v>
      </c>
      <c r="B135" s="50" t="str">
        <f>IF(VALUE(MID(Dec!$B$1,2,1))="","",VLOOKUP(VALUE(MID(Dec!$B$1,2,1)),W1500m,9))</f>
        <v>YY</v>
      </c>
      <c r="C135" s="51" t="str">
        <f>IF(B135="","",IF(LEN(B135)=2,VLOOKUP(E127,WSB,VLOOKUP(LEFT(B135,1),Teams,6,FALSE),FALSE),VLOOKUP(E127,WSA,VLOOKUP(B135,Teams,6,FALSE),FALSE)))</f>
        <v>Becky Owen</v>
      </c>
      <c r="D135" s="51" t="str">
        <f t="shared" si="14"/>
        <v>Crawley</v>
      </c>
    </row>
    <row r="136" spans="1:5" ht="12.75">
      <c r="A136" s="82" t="s">
        <v>886</v>
      </c>
      <c r="B136" s="81"/>
      <c r="C136" s="85" t="s">
        <v>669</v>
      </c>
      <c r="D136" s="89">
        <v>0.14583333333333334</v>
      </c>
      <c r="E136" s="88" t="s">
        <v>985</v>
      </c>
    </row>
    <row r="137" spans="1:4" ht="15">
      <c r="A137" s="84">
        <v>1</v>
      </c>
      <c r="B137" s="50" t="str">
        <f>IF(VALUE(MID(Dec!$B$1,2,1))="","",VLOOKUP(VALUE(MID(Dec!$B$1,2,1)),M1500m,2))</f>
        <v>R</v>
      </c>
      <c r="C137" s="51" t="str">
        <f>IF(B137="","",IF(LEN(B137)=2,VLOOKUP(E136,MSB,VLOOKUP(LEFT(B137,1),Teams,6,FALSE),FALSE),VLOOKUP(E136,MSA,VLOOKUP(B137,Teams,6,FALSE),FALSE)))</f>
        <v>Glyn Davies</v>
      </c>
      <c r="D137" s="51" t="str">
        <f aca="true" t="shared" si="15" ref="D137:D144">IF(B137="","",VLOOKUP(LEFT(B137,1),Teams,2,FALSE))</f>
        <v>Team Dorset</v>
      </c>
    </row>
    <row r="138" spans="1:4" ht="15">
      <c r="A138" s="84">
        <v>2</v>
      </c>
      <c r="B138" s="50" t="str">
        <f>IF(VALUE(MID(Dec!$B$1,2,1))="","",VLOOKUP(VALUE(MID(Dec!$B$1,2,1)),M1500m,3))</f>
        <v>Y</v>
      </c>
      <c r="C138" s="51" t="str">
        <f>IF(B138="","",IF(LEN(B138)=2,VLOOKUP(E136,MSB,VLOOKUP(LEFT(B138,1),Teams,6,FALSE),FALSE),VLOOKUP(E136,MSA,VLOOKUP(B138,Teams,6,FALSE),FALSE)))</f>
        <v>Tim Kimber </v>
      </c>
      <c r="D138" s="51" t="str">
        <f t="shared" si="15"/>
        <v>Crawley</v>
      </c>
    </row>
    <row r="139" spans="1:4" ht="15">
      <c r="A139" s="84">
        <v>3</v>
      </c>
      <c r="B139" s="50" t="str">
        <f>IF(VALUE(MID(Dec!$B$1,2,1))="","",VLOOKUP(VALUE(MID(Dec!$B$1,2,1)),M1500m,4))</f>
        <v>E</v>
      </c>
      <c r="C139" s="51" t="str">
        <f>IF(B139="","",IF(LEN(B139)=2,VLOOKUP(E136,MSB,VLOOKUP(LEFT(B139,1),Teams,6,FALSE),FALSE),VLOOKUP(E136,MSA,VLOOKUP(B139,Teams,6,FALSE),FALSE)))</f>
        <v>Stuart Flack</v>
      </c>
      <c r="D139" s="51" t="str">
        <f t="shared" si="15"/>
        <v>Epsom &amp; Ewell</v>
      </c>
    </row>
    <row r="140" spans="1:4" ht="15">
      <c r="A140" s="84">
        <v>4</v>
      </c>
      <c r="B140" s="50" t="str">
        <f>IF(VALUE(MID(Dec!$B$1,2,1))="","",VLOOKUP(VALUE(MID(Dec!$B$1,2,1)),M1500m,5))</f>
        <v>T</v>
      </c>
      <c r="C140" s="51" t="str">
        <f>IF(B140="","",IF(LEN(B140)=2,VLOOKUP(E136,MSB,VLOOKUP(LEFT(B140,1),Teams,6,FALSE),FALSE),VLOOKUP(E136,MSA,VLOOKUP(B140,Teams,6,FALSE),FALSE)))</f>
        <v>Cameron Knapp</v>
      </c>
      <c r="D140" s="51" t="str">
        <f t="shared" si="15"/>
        <v>Tonbridge</v>
      </c>
    </row>
    <row r="141" spans="1:4" ht="15">
      <c r="A141" s="84">
        <v>5</v>
      </c>
      <c r="B141" s="50" t="str">
        <f>IF(VALUE(MID(Dec!$B$1,2,1))="","",VLOOKUP(VALUE(MID(Dec!$B$1,2,1)),M1500m,6))</f>
        <v>RR</v>
      </c>
      <c r="C141" s="51" t="str">
        <f>IF(B141="","",IF(LEN(B141)=2,VLOOKUP(E136,MSB,VLOOKUP(LEFT(B141,1),Teams,6,FALSE),FALSE),VLOOKUP(E136,MSA,VLOOKUP(B141,Teams,6,FALSE),FALSE)))</f>
        <v>David Pearson</v>
      </c>
      <c r="D141" s="51" t="str">
        <f t="shared" si="15"/>
        <v>Team Dorset</v>
      </c>
    </row>
    <row r="142" spans="1:4" ht="15">
      <c r="A142" s="84">
        <v>6</v>
      </c>
      <c r="B142" s="50" t="str">
        <f>IF(VALUE(MID(Dec!$B$1,2,1))="","",VLOOKUP(VALUE(MID(Dec!$B$1,2,1)),M1500m,7))</f>
        <v>YY</v>
      </c>
      <c r="C142" s="51" t="str">
        <f>IF(B142="","",IF(LEN(B142)=2,VLOOKUP(E136,MSB,VLOOKUP(LEFT(B142,1),Teams,6,FALSE),FALSE),VLOOKUP(E136,MSA,VLOOKUP(B142,Teams,6,FALSE),FALSE)))</f>
        <v>Robbie Creed </v>
      </c>
      <c r="D142" s="51" t="str">
        <f t="shared" si="15"/>
        <v>Crawley</v>
      </c>
    </row>
    <row r="143" spans="1:4" ht="15">
      <c r="A143" s="84">
        <v>7</v>
      </c>
      <c r="B143" s="50" t="str">
        <f>IF(VALUE(MID(Dec!$B$1,2,1))="","",VLOOKUP(VALUE(MID(Dec!$B$1,2,1)),M1500m,8))</f>
        <v>EE</v>
      </c>
      <c r="C143" s="51" t="str">
        <f>IF(B143="","",IF(LEN(B143)=2,VLOOKUP(E136,MSB,VLOOKUP(LEFT(B143,1),Teams,6,FALSE),FALSE),VLOOKUP(E136,MSA,VLOOKUP(B143,Teams,6,FALSE),FALSE)))</f>
        <v>Alex Gurteen</v>
      </c>
      <c r="D143" s="51" t="str">
        <f t="shared" si="15"/>
        <v>Epsom &amp; Ewell</v>
      </c>
    </row>
    <row r="144" spans="1:4" ht="15">
      <c r="A144" s="84">
        <v>8</v>
      </c>
      <c r="B144" s="50" t="str">
        <f>IF(VALUE(MID(Dec!$B$1,2,1))="","",VLOOKUP(VALUE(MID(Dec!$B$1,2,1)),M1500m,9))</f>
        <v>TT</v>
      </c>
      <c r="C144" s="51" t="str">
        <f>IF(B144="","",IF(LEN(B144)=2,VLOOKUP(E136,MSB,VLOOKUP(LEFT(B144,1),Teams,6,FALSE),FALSE),VLOOKUP(E136,MSA,VLOOKUP(B144,Teams,6,FALSE),FALSE)))</f>
        <v>Dan Bradley</v>
      </c>
      <c r="D144" s="51" t="str">
        <f t="shared" si="15"/>
        <v>Tonbridge</v>
      </c>
    </row>
    <row r="145" spans="1:5" ht="12.75">
      <c r="A145" s="82" t="s">
        <v>886</v>
      </c>
      <c r="B145" s="81"/>
      <c r="C145" s="83" t="str">
        <f>"Men's "&amp;IF(INT(VALUE(MID(Dec!$B$1,2,1))/2)*2=VALUE(MID(Dec!$B$1,2,1)),"3000m","2000m")&amp;" Steeplechase"</f>
        <v>Men's 2000m Steeplechase</v>
      </c>
      <c r="D145" s="89">
        <v>0.15277777777777776</v>
      </c>
      <c r="E145" s="87" t="str">
        <f>IF(INT(VALUE(MID(Dec!$B$1,2,1))/2)*2=VALUE(MID(Dec!$B$1,2,1)),"3000Sc","2000Sc")</f>
        <v>2000Sc</v>
      </c>
    </row>
    <row r="146" spans="1:4" ht="15">
      <c r="A146" s="84">
        <v>1</v>
      </c>
      <c r="B146" s="50" t="str">
        <f>IF(VALUE(MID(Dec!$B$1,2,1))="","",VLOOKUP(VALUE(MID(Dec!$B$1,2,1)),M2000mSc,2))</f>
        <v>Y</v>
      </c>
      <c r="C146" s="51" t="str">
        <f>IF(B146="","",IF(LEN(B146)=2,VLOOKUP(E145,MSB,VLOOKUP(LEFT(B146,1),Teams,6,FALSE),FALSE),VLOOKUP(E145,MSA,VLOOKUP(B146,Teams,6,FALSE),FALSE)))</f>
        <v>Rob Creed </v>
      </c>
      <c r="D146" s="51" t="str">
        <f aca="true" t="shared" si="16" ref="D146:D153">IF(B146="","",VLOOKUP(LEFT(B146,1),Teams,2,FALSE))</f>
        <v>Crawley</v>
      </c>
    </row>
    <row r="147" spans="1:4" ht="15">
      <c r="A147" s="84">
        <v>2</v>
      </c>
      <c r="B147" s="50" t="str">
        <f>IF(VALUE(MID(Dec!$B$1,2,1))="","",VLOOKUP(VALUE(MID(Dec!$B$1,2,1)),M2000mSc,3))</f>
        <v>E</v>
      </c>
      <c r="C147" s="51" t="str">
        <f>IF(B147="","",IF(LEN(B147)=2,VLOOKUP(E145,MSB,VLOOKUP(LEFT(B147,1),Teams,6,FALSE),FALSE),VLOOKUP(E145,MSA,VLOOKUP(B147,Teams,6,FALSE),FALSE)))</f>
        <v>Alex Hawkins</v>
      </c>
      <c r="D147" s="51" t="str">
        <f t="shared" si="16"/>
        <v>Epsom &amp; Ewell</v>
      </c>
    </row>
    <row r="148" spans="1:4" ht="15">
      <c r="A148" s="84">
        <v>3</v>
      </c>
      <c r="B148" s="50" t="str">
        <f>IF(VALUE(MID(Dec!$B$1,2,1))="","",VLOOKUP(VALUE(MID(Dec!$B$1,2,1)),M2000mSc,4))</f>
        <v>T</v>
      </c>
      <c r="C148" s="51" t="str">
        <f>IF(B148="","",IF(LEN(B148)=2,VLOOKUP(E145,MSB,VLOOKUP(LEFT(B148,1),Teams,6,FALSE),FALSE),VLOOKUP(E145,MSA,VLOOKUP(B148,Teams,6,FALSE),FALSE)))</f>
        <v>Michael Ellis</v>
      </c>
      <c r="D148" s="51" t="str">
        <f t="shared" si="16"/>
        <v>Tonbridge</v>
      </c>
    </row>
    <row r="149" spans="1:4" ht="15">
      <c r="A149" s="84">
        <v>4</v>
      </c>
      <c r="B149" s="50" t="str">
        <f>IF(VALUE(MID(Dec!$B$1,2,1))="","",VLOOKUP(VALUE(MID(Dec!$B$1,2,1)),M2000mSc,5))</f>
        <v>R</v>
      </c>
      <c r="C149" s="51" t="str">
        <f>IF(B149="","",IF(LEN(B149)=2,VLOOKUP(E145,MSB,VLOOKUP(LEFT(B149,1),Teams,6,FALSE),FALSE),VLOOKUP(E145,MSA,VLOOKUP(B149,Teams,6,FALSE),FALSE)))</f>
        <v>Tom Freeman</v>
      </c>
      <c r="D149" s="51" t="str">
        <f t="shared" si="16"/>
        <v>Team Dorset</v>
      </c>
    </row>
    <row r="150" spans="1:4" ht="15">
      <c r="A150" s="84">
        <v>5</v>
      </c>
      <c r="B150" s="50" t="str">
        <f>IF(VALUE(MID(Dec!$B$1,2,1))="","",VLOOKUP(VALUE(MID(Dec!$B$1,2,1)),M2000mSc,6))</f>
        <v>YY</v>
      </c>
      <c r="C150" s="51" t="str">
        <f>IF(B150="","",IF(LEN(B150)=2,VLOOKUP(E145,MSB,VLOOKUP(LEFT(B150,1),Teams,6,FALSE),FALSE),VLOOKUP(E145,MSA,VLOOKUP(B150,Teams,6,FALSE),FALSE)))</f>
        <v>Tim Ellis </v>
      </c>
      <c r="D150" s="51" t="str">
        <f t="shared" si="16"/>
        <v>Crawley</v>
      </c>
    </row>
    <row r="151" spans="1:4" ht="15">
      <c r="A151" s="84">
        <v>6</v>
      </c>
      <c r="B151" s="50" t="str">
        <f>IF(VALUE(MID(Dec!$B$1,2,1))="","",VLOOKUP(VALUE(MID(Dec!$B$1,2,1)),M2000mSc,7))</f>
        <v>EE</v>
      </c>
      <c r="C151" s="51" t="str">
        <f>IF(B151="","",IF(LEN(B151)=2,VLOOKUP(E145,MSB,VLOOKUP(LEFT(B151,1),Teams,6,FALSE),FALSE),VLOOKUP(E145,MSA,VLOOKUP(B151,Teams,6,FALSE),FALSE)))</f>
        <v>Mark Alden</v>
      </c>
      <c r="D151" s="51" t="str">
        <f t="shared" si="16"/>
        <v>Epsom &amp; Ewell</v>
      </c>
    </row>
    <row r="152" spans="1:4" ht="15">
      <c r="A152" s="84">
        <v>7</v>
      </c>
      <c r="B152" s="50" t="str">
        <f>IF(VALUE(MID(Dec!$B$1,2,1))="","",VLOOKUP(VALUE(MID(Dec!$B$1,2,1)),M2000mSc,8))</f>
        <v>TT</v>
      </c>
      <c r="C152" s="51" t="str">
        <f>IF(B152="","",IF(LEN(B152)=2,VLOOKUP(E145,MSB,VLOOKUP(LEFT(B152,1),Teams,6,FALSE),FALSE),VLOOKUP(E145,MSA,VLOOKUP(B152,Teams,6,FALSE),FALSE)))</f>
        <v>Greg Cole</v>
      </c>
      <c r="D152" s="51" t="str">
        <f t="shared" si="16"/>
        <v>Tonbridge</v>
      </c>
    </row>
    <row r="153" spans="1:4" ht="15">
      <c r="A153" s="84">
        <v>8</v>
      </c>
      <c r="B153" s="50" t="str">
        <f>IF(VALUE(MID(Dec!$B$1,2,1))="","",VLOOKUP(VALUE(MID(Dec!$B$1,2,1)),M2000mSc,9))</f>
        <v>RR</v>
      </c>
      <c r="C153" s="51" t="str">
        <f>IF(B153="","",IF(LEN(B153)=2,VLOOKUP(E145,MSB,VLOOKUP(LEFT(B153,1),Teams,6,FALSE),FALSE),VLOOKUP(E145,MSA,VLOOKUP(B153,Teams,6,FALSE),FALSE)))</f>
        <v>Aiden Turner</v>
      </c>
      <c r="D153" s="51" t="str">
        <f t="shared" si="16"/>
        <v>Team Dorset</v>
      </c>
    </row>
    <row r="154" spans="1:5" ht="12.75">
      <c r="A154" s="82" t="s">
        <v>886</v>
      </c>
      <c r="C154" s="83" t="s">
        <v>670</v>
      </c>
      <c r="D154" s="89">
        <v>0.16666666666666666</v>
      </c>
      <c r="E154" s="81" t="s">
        <v>907</v>
      </c>
    </row>
    <row r="155" spans="1:4" ht="15">
      <c r="A155" s="84">
        <v>1</v>
      </c>
      <c r="B155" s="50" t="str">
        <f>IF(VALUE(MID(Dec!$B$1,2,1))="","",VLOOKUP(VALUE(MID(Dec!$B$1,2,1)),W4x100m,2))</f>
        <v>R</v>
      </c>
      <c r="C155" s="51" t="str">
        <f>IF(B155="","",VLOOKUP(LEFT(B155,1),Teams,2,FALSE))</f>
        <v>Team Dorset</v>
      </c>
      <c r="D155" s="51"/>
    </row>
    <row r="156" spans="1:4" ht="15">
      <c r="A156" s="84">
        <v>2</v>
      </c>
      <c r="B156" s="50" t="str">
        <f>IF(VALUE(MID(Dec!$B$1,2,1))="","",VLOOKUP(VALUE(MID(Dec!$B$1,2,1)),W4x100m,3))</f>
        <v>Y</v>
      </c>
      <c r="C156" s="51" t="str">
        <f>IF(B156="","",VLOOKUP(LEFT(B156,1),Teams,2,FALSE))</f>
        <v>Crawley</v>
      </c>
      <c r="D156" s="51"/>
    </row>
    <row r="157" spans="1:4" ht="15">
      <c r="A157" s="84">
        <v>3</v>
      </c>
      <c r="B157" s="50" t="str">
        <f>IF(VALUE(MID(Dec!$B$1,2,1))="","",VLOOKUP(VALUE(MID(Dec!$B$1,2,1)),W4x100m,4))</f>
        <v>E</v>
      </c>
      <c r="C157" s="51" t="str">
        <f>IF(B157="","",VLOOKUP(LEFT(B157,1),Teams,2,FALSE))</f>
        <v>Epsom &amp; Ewell</v>
      </c>
      <c r="D157" s="51"/>
    </row>
    <row r="158" spans="1:4" ht="15">
      <c r="A158" s="84">
        <v>4</v>
      </c>
      <c r="B158" s="50" t="str">
        <f>IF(VALUE(MID(Dec!$B$1,2,1))="","",VLOOKUP(VALUE(MID(Dec!$B$1,2,1)),W4x100m,5))</f>
        <v>T</v>
      </c>
      <c r="C158" s="51" t="str">
        <f>IF(B158="","",VLOOKUP(LEFT(B158,1),Teams,2,FALSE))</f>
        <v>Tonbridge</v>
      </c>
      <c r="D158" s="51"/>
    </row>
    <row r="159" spans="1:5" ht="12.75">
      <c r="A159" s="82" t="s">
        <v>886</v>
      </c>
      <c r="B159" s="81"/>
      <c r="C159" s="85" t="s">
        <v>671</v>
      </c>
      <c r="D159" s="89">
        <v>0.17013888888888887</v>
      </c>
      <c r="E159" t="s">
        <v>907</v>
      </c>
    </row>
    <row r="160" spans="1:4" ht="15">
      <c r="A160" s="84">
        <v>1</v>
      </c>
      <c r="B160" s="50" t="str">
        <f>IF(VALUE(MID(Dec!$B$1,2,1))="","",VLOOKUP(VALUE(MID(Dec!$B$1,2,1)),M4x100m,2))</f>
        <v>T</v>
      </c>
      <c r="C160" s="51" t="str">
        <f>IF(B160="","",VLOOKUP(LEFT(B160,1),Teams,2,FALSE))</f>
        <v>Tonbridge</v>
      </c>
      <c r="D160" s="51"/>
    </row>
    <row r="161" spans="1:4" ht="15">
      <c r="A161" s="84">
        <v>2</v>
      </c>
      <c r="B161" s="50" t="str">
        <f>IF(VALUE(MID(Dec!$B$1,2,1))="","",VLOOKUP(VALUE(MID(Dec!$B$1,2,1)),M4x100m,3))</f>
        <v>E</v>
      </c>
      <c r="C161" s="51" t="str">
        <f>IF(B161="","",VLOOKUP(LEFT(B161,1),Teams,2,FALSE))</f>
        <v>Epsom &amp; Ewell</v>
      </c>
      <c r="D161" s="51"/>
    </row>
    <row r="162" spans="1:4" ht="15">
      <c r="A162" s="84">
        <v>3</v>
      </c>
      <c r="B162" s="50" t="str">
        <f>IF(VALUE(MID(Dec!$B$1,2,1))="","",VLOOKUP(VALUE(MID(Dec!$B$1,2,1)),M4x100m,4))</f>
        <v>R</v>
      </c>
      <c r="C162" s="51" t="str">
        <f>IF(B162="","",VLOOKUP(LEFT(B162,1),Teams,2,FALSE))</f>
        <v>Team Dorset</v>
      </c>
      <c r="D162" s="51"/>
    </row>
    <row r="163" spans="1:4" ht="15">
      <c r="A163" s="84">
        <v>4</v>
      </c>
      <c r="B163" s="50" t="str">
        <f>IF(VALUE(MID(Dec!$B$1,2,1))="","",VLOOKUP(VALUE(MID(Dec!$B$1,2,1)),M4x100m,5))</f>
        <v>Y</v>
      </c>
      <c r="C163" s="51" t="str">
        <f>IF(B163="","",VLOOKUP(LEFT(B163,1),Teams,2,FALSE))</f>
        <v>Crawley</v>
      </c>
      <c r="D163" s="51"/>
    </row>
    <row r="164" spans="1:5" ht="12.75">
      <c r="A164" s="82" t="s">
        <v>886</v>
      </c>
      <c r="C164" s="83" t="str">
        <f>"Women's "&amp;IF(INT(VALUE(MID(Dec!$B$1,2,1))/2)*2=VALUE(MID(Dec!$B$1,2,1)),"2000m","1500m")&amp;" Steeplechase"</f>
        <v>Women's 1500m Steeplechase</v>
      </c>
      <c r="D164" s="89">
        <v>0.17361111111111113</v>
      </c>
      <c r="E164" s="87" t="str">
        <f>IF(INT(VALUE(MID(Dec!$B$1,2,1))/2)*2=VALUE(MID(Dec!$B$1,2,1)),"2000ScW","1500ScW")</f>
        <v>1500ScW</v>
      </c>
    </row>
    <row r="165" spans="1:4" ht="15">
      <c r="A165" s="84">
        <v>1</v>
      </c>
      <c r="B165" s="50" t="str">
        <f>IF(VALUE(MID(Dec!$B$1,2,1))="","",VLOOKUP(VALUE(MID(Dec!$B$1,2,1)),W1500mSc,2))</f>
        <v>E</v>
      </c>
      <c r="C165" s="51" t="str">
        <f>IF(B165="","",IF(LEN(B165)=2,VLOOKUP(E164,WSB,VLOOKUP(LEFT(B165,1),Teams,6,FALSE),FALSE),VLOOKUP(E164,WSA,VLOOKUP(B165,Teams,6,FALSE),FALSE)))</f>
        <v>Diana Norman</v>
      </c>
      <c r="D165" s="51" t="str">
        <f aca="true" t="shared" si="17" ref="D165:D172">IF(B165="","",VLOOKUP(LEFT(B165,1),Teams,2,FALSE))</f>
        <v>Epsom &amp; Ewell</v>
      </c>
    </row>
    <row r="166" spans="1:4" ht="15">
      <c r="A166" s="84">
        <v>2</v>
      </c>
      <c r="B166" s="50" t="str">
        <f>IF(VALUE(MID(Dec!$B$1,2,1))="","",VLOOKUP(VALUE(MID(Dec!$B$1,2,1)),W1500mSc,3))</f>
        <v>T</v>
      </c>
      <c r="C166" s="51" t="str">
        <f>IF(B166="","",IF(LEN(B166)=2,VLOOKUP(E164,WSB,VLOOKUP(LEFT(B166,1),Teams,6,FALSE),FALSE),VLOOKUP(E164,WSA,VLOOKUP(B166,Teams,6,FALSE),FALSE)))</f>
        <v>Polly Pitcairn-Knowles</v>
      </c>
      <c r="D166" s="51" t="str">
        <f t="shared" si="17"/>
        <v>Tonbridge</v>
      </c>
    </row>
    <row r="167" spans="1:4" ht="15">
      <c r="A167" s="84">
        <v>3</v>
      </c>
      <c r="B167" s="50" t="str">
        <f>IF(VALUE(MID(Dec!$B$1,2,1))="","",VLOOKUP(VALUE(MID(Dec!$B$1,2,1)),W1500mSc,4))</f>
        <v>Y</v>
      </c>
      <c r="C167" s="51" t="str">
        <f>IF(B167="","",IF(LEN(B167)=2,VLOOKUP(E164,WSB,VLOOKUP(LEFT(B167,1),Teams,6,FALSE),FALSE),VLOOKUP(E164,WSA,VLOOKUP(B167,Teams,6,FALSE),FALSE)))</f>
        <v>Paige Clark</v>
      </c>
      <c r="D167" s="51" t="str">
        <f t="shared" si="17"/>
        <v>Crawley</v>
      </c>
    </row>
    <row r="168" spans="1:4" ht="15">
      <c r="A168" s="84">
        <v>4</v>
      </c>
      <c r="B168" s="50" t="str">
        <f>IF(VALUE(MID(Dec!$B$1,2,1))="","",VLOOKUP(VALUE(MID(Dec!$B$1,2,1)),W1500mSc,5))</f>
        <v>R</v>
      </c>
      <c r="C168" s="51">
        <f>IF(B168="","",IF(LEN(B168)=2,VLOOKUP(E164,WSB,VLOOKUP(LEFT(B168,1),Teams,6,FALSE),FALSE),VLOOKUP(E164,WSA,VLOOKUP(B168,Teams,6,FALSE),FALSE)))</f>
        <v>0</v>
      </c>
      <c r="D168" s="51" t="str">
        <f t="shared" si="17"/>
        <v>Team Dorset</v>
      </c>
    </row>
    <row r="169" spans="1:4" ht="15">
      <c r="A169" s="84">
        <v>5</v>
      </c>
      <c r="B169" s="50" t="str">
        <f>IF(VALUE(MID(Dec!$B$1,2,1))="","",VLOOKUP(VALUE(MID(Dec!$B$1,2,1)),W1500mSc,6))</f>
        <v>EE</v>
      </c>
      <c r="C169" s="51" t="str">
        <f>IF(B169="","",IF(LEN(B169)=2,VLOOKUP(E164,WSB,VLOOKUP(LEFT(B169,1),Teams,6,FALSE),FALSE),VLOOKUP(E164,WSA,VLOOKUP(B169,Teams,6,FALSE),FALSE)))</f>
        <v>Katie Garrod</v>
      </c>
      <c r="D169" s="51" t="str">
        <f t="shared" si="17"/>
        <v>Epsom &amp; Ewell</v>
      </c>
    </row>
    <row r="170" spans="1:4" ht="15">
      <c r="A170" s="84">
        <v>6</v>
      </c>
      <c r="B170" s="50" t="str">
        <f>IF(VALUE(MID(Dec!$B$1,2,1))="","",VLOOKUP(VALUE(MID(Dec!$B$1,2,1)),W1500mSc,7))</f>
        <v>TT</v>
      </c>
      <c r="C170" s="51" t="str">
        <f>IF(B170="","",IF(LEN(B170)=2,VLOOKUP(E164,WSB,VLOOKUP(LEFT(B170,1),Teams,6,FALSE),FALSE),VLOOKUP(E164,WSA,VLOOKUP(B170,Teams,6,FALSE),FALSE)))</f>
        <v>Emily Hale</v>
      </c>
      <c r="D170" s="51" t="str">
        <f t="shared" si="17"/>
        <v>Tonbridge</v>
      </c>
    </row>
    <row r="171" spans="1:4" ht="15">
      <c r="A171" s="84">
        <v>7</v>
      </c>
      <c r="B171" s="50" t="str">
        <f>IF(VALUE(MID(Dec!$B$1,2,1))="","",VLOOKUP(VALUE(MID(Dec!$B$1,2,1)),W1500mSc,8))</f>
        <v>YY</v>
      </c>
      <c r="C171" s="51" t="str">
        <f>IF(B171="","",IF(LEN(B171)=2,VLOOKUP(E164,WSB,VLOOKUP(LEFT(B171,1),Teams,6,FALSE),FALSE),VLOOKUP(E164,WSA,VLOOKUP(B171,Teams,6,FALSE),FALSE)))</f>
        <v>Jo Rowland</v>
      </c>
      <c r="D171" s="51" t="str">
        <f t="shared" si="17"/>
        <v>Crawley</v>
      </c>
    </row>
    <row r="172" spans="1:4" ht="15">
      <c r="A172" s="84">
        <v>8</v>
      </c>
      <c r="B172" s="50" t="str">
        <f>IF(VALUE(MID(Dec!$B$1,2,1))="","",VLOOKUP(VALUE(MID(Dec!$B$1,2,1)),W1500mSc,9))</f>
        <v>RR</v>
      </c>
      <c r="C172" s="51">
        <f>IF(B172="","",IF(LEN(B172)=2,VLOOKUP(E164,WSB,VLOOKUP(LEFT(B172,1),Teams,6,FALSE),FALSE),VLOOKUP(E164,WSA,VLOOKUP(B172,Teams,6,FALSE),FALSE)))</f>
        <v>0</v>
      </c>
      <c r="D172" s="51" t="str">
        <f t="shared" si="17"/>
        <v>Team Dorset</v>
      </c>
    </row>
    <row r="173" spans="1:5" ht="12.75">
      <c r="A173" s="82" t="s">
        <v>886</v>
      </c>
      <c r="C173" s="83" t="s">
        <v>672</v>
      </c>
      <c r="D173" s="89">
        <v>0.1875</v>
      </c>
      <c r="E173" s="81" t="s">
        <v>908</v>
      </c>
    </row>
    <row r="174" spans="1:4" ht="15">
      <c r="A174" s="84">
        <v>1</v>
      </c>
      <c r="B174" s="50" t="str">
        <f>IF(VALUE(MID(Dec!$B$1,2,1))="","",VLOOKUP(VALUE(MID(Dec!$B$1,2,1)),W4x400m,2))</f>
        <v>T</v>
      </c>
      <c r="C174" s="51" t="str">
        <f>IF(B174="","",VLOOKUP(LEFT(B174,1),Teams,2,FALSE))</f>
        <v>Tonbridge</v>
      </c>
      <c r="D174" s="51"/>
    </row>
    <row r="175" spans="1:4" ht="15">
      <c r="A175" s="84">
        <v>2</v>
      </c>
      <c r="B175" s="50" t="str">
        <f>IF(VALUE(MID(Dec!$B$1,2,1))="","",VLOOKUP(VALUE(MID(Dec!$B$1,2,1)),W4x400m,3))</f>
        <v>Y</v>
      </c>
      <c r="C175" s="51" t="str">
        <f>IF(B175="","",VLOOKUP(LEFT(B175,1),Teams,2,FALSE))</f>
        <v>Crawley</v>
      </c>
      <c r="D175" s="51"/>
    </row>
    <row r="176" spans="1:4" ht="15">
      <c r="A176" s="84">
        <v>3</v>
      </c>
      <c r="B176" s="50" t="str">
        <f>IF(VALUE(MID(Dec!$B$1,2,1))="","",VLOOKUP(VALUE(MID(Dec!$B$1,2,1)),W4x400m,4))</f>
        <v>E</v>
      </c>
      <c r="C176" s="51" t="str">
        <f>IF(B176="","",VLOOKUP(LEFT(B176,1),Teams,2,FALSE))</f>
        <v>Epsom &amp; Ewell</v>
      </c>
      <c r="D176" s="51"/>
    </row>
    <row r="177" spans="1:4" ht="15">
      <c r="A177" s="84">
        <v>4</v>
      </c>
      <c r="B177" s="50" t="str">
        <f>IF(VALUE(MID(Dec!$B$1,2,1))="","",VLOOKUP(VALUE(MID(Dec!$B$1,2,1)),W4x400m,5))</f>
        <v>R</v>
      </c>
      <c r="C177" s="51" t="str">
        <f>IF(B177="","",VLOOKUP(LEFT(B177,1),Teams,2,FALSE))</f>
        <v>Team Dorset</v>
      </c>
      <c r="D177" s="51"/>
    </row>
    <row r="178" spans="1:5" ht="12.75">
      <c r="A178" s="82" t="s">
        <v>886</v>
      </c>
      <c r="B178" s="81"/>
      <c r="C178" s="85" t="s">
        <v>673</v>
      </c>
      <c r="D178" s="89">
        <v>0.19444444444444445</v>
      </c>
      <c r="E178" t="s">
        <v>908</v>
      </c>
    </row>
    <row r="179" spans="1:4" ht="15">
      <c r="A179" s="84">
        <v>1</v>
      </c>
      <c r="B179" s="50" t="str">
        <f>IF(VALUE(MID(Dec!$B$1,2,1))="","",VLOOKUP(VALUE(MID(Dec!$B$1,2,1)),M4x400m,2))</f>
        <v>R</v>
      </c>
      <c r="C179" s="51" t="str">
        <f>IF(B179="","",VLOOKUP(LEFT(B179,1),Teams,2,FALSE))</f>
        <v>Team Dorset</v>
      </c>
      <c r="D179" s="51"/>
    </row>
    <row r="180" spans="1:4" ht="15">
      <c r="A180" s="84">
        <v>2</v>
      </c>
      <c r="B180" s="50" t="str">
        <f>IF(VALUE(MID(Dec!$B$1,2,1))="","",VLOOKUP(VALUE(MID(Dec!$B$1,2,1)),M4x400m,3))</f>
        <v>E</v>
      </c>
      <c r="C180" s="51" t="str">
        <f>IF(B180="","",VLOOKUP(LEFT(B180,1),Teams,2,FALSE))</f>
        <v>Epsom &amp; Ewell</v>
      </c>
      <c r="D180" s="51"/>
    </row>
    <row r="181" spans="1:4" ht="15">
      <c r="A181" s="84">
        <v>3</v>
      </c>
      <c r="B181" s="50" t="str">
        <f>IF(VALUE(MID(Dec!$B$1,2,1))="","",VLOOKUP(VALUE(MID(Dec!$B$1,2,1)),M4x400m,4))</f>
        <v>T</v>
      </c>
      <c r="C181" s="51" t="str">
        <f>IF(B181="","",VLOOKUP(LEFT(B181,1),Teams,2,FALSE))</f>
        <v>Tonbridge</v>
      </c>
      <c r="D181" s="51"/>
    </row>
    <row r="182" spans="1:4" ht="15">
      <c r="A182" s="84">
        <v>4</v>
      </c>
      <c r="B182" s="50" t="str">
        <f>IF(VALUE(MID(Dec!$B$1,2,1))="","",VLOOKUP(VALUE(MID(Dec!$B$1,2,1)),M4x400m,5))</f>
        <v>Y</v>
      </c>
      <c r="C182" s="51" t="str">
        <f>IF(B182="","",VLOOKUP(LEFT(B182,1),Teams,2,FALSE))</f>
        <v>Crawley</v>
      </c>
      <c r="D182" s="51"/>
    </row>
  </sheetData>
  <sheetProtection sheet="1" selectLockedCells="1" selectUnlockedCells="1"/>
  <printOptions/>
  <pageMargins left="0.75" right="0.75" top="0.22" bottom="0.17" header="0.5" footer="0.5"/>
  <pageSetup horizontalDpi="600" verticalDpi="600" orientation="portrait" paperSize="9"/>
  <rowBreaks count="3" manualBreakCount="3">
    <brk id="54" max="255" man="1"/>
    <brk id="108" max="255" man="1"/>
    <brk id="1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11"/>
  <sheetViews>
    <sheetView workbookViewId="0" topLeftCell="A1">
      <selection activeCell="A1" sqref="A1:F33"/>
    </sheetView>
  </sheetViews>
  <sheetFormatPr defaultColWidth="8.8515625" defaultRowHeight="12.75"/>
  <cols>
    <col min="1" max="1" width="10.421875" style="13" customWidth="1"/>
    <col min="2" max="2" width="4.8515625" style="13" customWidth="1"/>
    <col min="3" max="3" width="28.8515625" style="13" customWidth="1"/>
    <col min="4" max="4" width="5.7109375" style="13" customWidth="1"/>
    <col min="5" max="5" width="28.00390625" style="13" customWidth="1"/>
    <col min="6" max="6" width="10.421875" style="12" customWidth="1"/>
    <col min="7" max="7" width="6.00390625" style="12" customWidth="1"/>
    <col min="8" max="8" width="9.140625" style="102" customWidth="1"/>
    <col min="9" max="13" width="9.140625" style="7" customWidth="1"/>
  </cols>
  <sheetData>
    <row r="1" spans="2:7" ht="12.75">
      <c r="B1" s="17"/>
      <c r="E1" s="104" t="str">
        <f>Dec!B$5</f>
        <v>Epsom &amp; Ewell</v>
      </c>
      <c r="F1" s="9"/>
      <c r="G1" s="9"/>
    </row>
    <row r="2" spans="5:7" ht="12.75">
      <c r="E2" s="104" t="str">
        <f>Dec!B$6</f>
        <v>Crawley</v>
      </c>
      <c r="F2" s="13"/>
      <c r="G2" s="13"/>
    </row>
    <row r="3" spans="5:7" ht="12.75">
      <c r="E3" s="104" t="str">
        <f>Dec!B$7</f>
        <v>Team Dorset</v>
      </c>
      <c r="F3" s="13"/>
      <c r="G3" s="13"/>
    </row>
    <row r="4" spans="1:7" ht="12.75">
      <c r="A4" s="18" t="s">
        <v>786</v>
      </c>
      <c r="C4" s="18" t="s">
        <v>968</v>
      </c>
      <c r="E4" s="104" t="str">
        <f>Dec!B$8</f>
        <v>Tonbridge</v>
      </c>
      <c r="F4" s="13"/>
      <c r="G4" s="13"/>
    </row>
    <row r="5" spans="1:8" ht="12.75">
      <c r="A5" s="13" t="s">
        <v>906</v>
      </c>
      <c r="B5" s="13" t="s">
        <v>969</v>
      </c>
      <c r="C5" s="13" t="s">
        <v>970</v>
      </c>
      <c r="D5" s="13" t="s">
        <v>941</v>
      </c>
      <c r="E5" s="13" t="s">
        <v>971</v>
      </c>
      <c r="F5" s="13" t="s">
        <v>972</v>
      </c>
      <c r="G5" s="13" t="s">
        <v>967</v>
      </c>
      <c r="H5" s="102" t="s">
        <v>973</v>
      </c>
    </row>
    <row r="6" spans="1:8" ht="12.75">
      <c r="A6" s="170" t="s">
        <v>981</v>
      </c>
      <c r="B6" s="171" t="s">
        <v>976</v>
      </c>
      <c r="C6" s="172" t="s">
        <v>387</v>
      </c>
      <c r="D6" s="170" t="s">
        <v>947</v>
      </c>
      <c r="E6" s="13" t="s">
        <v>600</v>
      </c>
      <c r="F6" s="13" t="s">
        <v>99</v>
      </c>
      <c r="G6" s="13"/>
      <c r="H6" s="103">
        <f aca="true" t="shared" si="0" ref="H6:H37">IF(F6="","",IF(LEFT(A6,1)&lt;"9",IF(F6-VLOOKUP($A6,AWstandards,VLOOKUP(D6,Age,2,FALSE),FALSE)&gt;0,"","aw"),IF(F6-VLOOKUP($A6,AWstandards,VLOOKUP(D6,Age,2,FALSE),FALSE)&lt;0,"","aw")))</f>
      </c>
    </row>
    <row r="7" spans="1:8" ht="12.75">
      <c r="A7" s="170" t="s">
        <v>990</v>
      </c>
      <c r="B7" s="171"/>
      <c r="C7" s="170" t="s">
        <v>388</v>
      </c>
      <c r="D7" s="170" t="s">
        <v>947</v>
      </c>
      <c r="E7" s="13" t="s">
        <v>600</v>
      </c>
      <c r="F7" s="13" t="s">
        <v>201</v>
      </c>
      <c r="G7" s="13"/>
      <c r="H7" s="103" t="str">
        <f t="shared" si="0"/>
        <v>aw</v>
      </c>
    </row>
    <row r="8" spans="1:8" ht="12.75">
      <c r="A8" s="170" t="s">
        <v>984</v>
      </c>
      <c r="B8" s="171" t="s">
        <v>77</v>
      </c>
      <c r="C8" s="172" t="s">
        <v>386</v>
      </c>
      <c r="D8" s="170" t="s">
        <v>992</v>
      </c>
      <c r="E8" s="13" t="s">
        <v>600</v>
      </c>
      <c r="F8" s="13" t="s">
        <v>76</v>
      </c>
      <c r="G8" s="13"/>
      <c r="H8" s="103">
        <f t="shared" si="0"/>
      </c>
    </row>
    <row r="9" spans="1:8" ht="12.75">
      <c r="A9" s="170" t="s">
        <v>985</v>
      </c>
      <c r="B9" s="171" t="s">
        <v>211</v>
      </c>
      <c r="C9" s="170" t="s">
        <v>268</v>
      </c>
      <c r="D9" s="170" t="s">
        <v>992</v>
      </c>
      <c r="E9" s="13" t="s">
        <v>600</v>
      </c>
      <c r="F9" s="13" t="s">
        <v>59</v>
      </c>
      <c r="G9" s="13"/>
      <c r="H9" s="103">
        <f t="shared" si="0"/>
      </c>
    </row>
    <row r="10" spans="1:8" ht="12.75">
      <c r="A10" s="170" t="s">
        <v>984</v>
      </c>
      <c r="B10" s="171" t="s">
        <v>79</v>
      </c>
      <c r="C10" s="170" t="s">
        <v>269</v>
      </c>
      <c r="D10" s="170" t="s">
        <v>947</v>
      </c>
      <c r="E10" s="13" t="s">
        <v>600</v>
      </c>
      <c r="F10" s="13" t="s">
        <v>78</v>
      </c>
      <c r="G10" s="13"/>
      <c r="H10" s="103" t="str">
        <f t="shared" si="0"/>
        <v>aw</v>
      </c>
    </row>
    <row r="11" spans="1:8" ht="12.75">
      <c r="A11" s="170" t="s">
        <v>981</v>
      </c>
      <c r="B11" s="171"/>
      <c r="C11" s="172" t="s">
        <v>270</v>
      </c>
      <c r="D11" s="170" t="s">
        <v>946</v>
      </c>
      <c r="E11" s="13" t="s">
        <v>600</v>
      </c>
      <c r="F11" s="13"/>
      <c r="G11" s="13"/>
      <c r="H11" s="103">
        <f t="shared" si="0"/>
      </c>
    </row>
    <row r="12" spans="1:8" ht="12.75">
      <c r="A12" s="170" t="s">
        <v>899</v>
      </c>
      <c r="B12" s="171"/>
      <c r="C12" s="170" t="s">
        <v>271</v>
      </c>
      <c r="D12" s="170" t="s">
        <v>993</v>
      </c>
      <c r="E12" s="13" t="s">
        <v>463</v>
      </c>
      <c r="F12" s="13"/>
      <c r="G12" s="13"/>
      <c r="H12" s="103">
        <f>IF(F12="","",IF(LEFT(#REF!,1)&lt;"9",IF(F12-VLOOKUP(#REF!,AWstandards,VLOOKUP(#REF!,Age,2,FALSE),FALSE)&gt;0,"","aw"),IF(F12-VLOOKUP(#REF!,AWstandards,VLOOKUP(#REF!,Age,2,FALSE),FALSE)&lt;0,"","aw")))</f>
      </c>
    </row>
    <row r="13" spans="1:8" ht="12.75">
      <c r="A13" s="170" t="s">
        <v>982</v>
      </c>
      <c r="B13" s="171"/>
      <c r="C13" s="170" t="s">
        <v>403</v>
      </c>
      <c r="D13" s="170" t="s">
        <v>946</v>
      </c>
      <c r="E13" s="13" t="s">
        <v>463</v>
      </c>
      <c r="F13" s="13"/>
      <c r="G13" s="13"/>
      <c r="H13" s="103">
        <f aca="true" t="shared" si="1" ref="H13:H18">IF(F13="","",IF(LEFT(A12,1)&lt;"9",IF(F13-VLOOKUP($A12,AWstandards,VLOOKUP(D12,Age,2,FALSE),FALSE)&gt;0,"","aw"),IF(F13-VLOOKUP($A12,AWstandards,VLOOKUP(D12,Age,2,FALSE),FALSE)&lt;0,"","aw")))</f>
      </c>
    </row>
    <row r="14" spans="1:8" ht="12.75">
      <c r="A14" s="170" t="s">
        <v>995</v>
      </c>
      <c r="B14" s="171" t="s">
        <v>173</v>
      </c>
      <c r="C14" s="170" t="s">
        <v>411</v>
      </c>
      <c r="D14" s="170" t="s">
        <v>946</v>
      </c>
      <c r="E14" s="13" t="s">
        <v>463</v>
      </c>
      <c r="F14" s="168" t="s">
        <v>63</v>
      </c>
      <c r="G14" s="13"/>
      <c r="H14" s="103"/>
    </row>
    <row r="15" spans="1:8" ht="12.75">
      <c r="A15" s="170" t="s">
        <v>981</v>
      </c>
      <c r="B15" s="171"/>
      <c r="C15" s="170" t="s">
        <v>412</v>
      </c>
      <c r="D15" s="170" t="s">
        <v>997</v>
      </c>
      <c r="E15" s="13" t="s">
        <v>463</v>
      </c>
      <c r="F15" s="13"/>
      <c r="G15" s="13"/>
      <c r="H15" s="103">
        <f t="shared" si="1"/>
      </c>
    </row>
    <row r="16" spans="1:8" ht="12.75">
      <c r="A16" s="170" t="s">
        <v>982</v>
      </c>
      <c r="B16" s="171"/>
      <c r="C16" s="170" t="s">
        <v>401</v>
      </c>
      <c r="D16" s="170" t="s">
        <v>946</v>
      </c>
      <c r="E16" s="13" t="s">
        <v>463</v>
      </c>
      <c r="F16" s="13"/>
      <c r="G16" s="13"/>
      <c r="H16" s="103">
        <f t="shared" si="1"/>
      </c>
    </row>
    <row r="17" spans="1:8" ht="12.75">
      <c r="A17" s="171" t="s">
        <v>982</v>
      </c>
      <c r="B17" s="171" t="s">
        <v>186</v>
      </c>
      <c r="C17" s="170" t="s">
        <v>272</v>
      </c>
      <c r="D17" s="170" t="s">
        <v>996</v>
      </c>
      <c r="E17" s="13" t="s">
        <v>433</v>
      </c>
      <c r="F17" s="13" t="s">
        <v>185</v>
      </c>
      <c r="G17" s="13"/>
      <c r="H17" s="103">
        <f t="shared" si="1"/>
      </c>
    </row>
    <row r="18" spans="1:8" ht="12.75">
      <c r="A18" s="171" t="s">
        <v>983</v>
      </c>
      <c r="B18" s="171" t="s">
        <v>975</v>
      </c>
      <c r="C18" s="170" t="s">
        <v>272</v>
      </c>
      <c r="D18" s="170" t="s">
        <v>996</v>
      </c>
      <c r="E18" s="13" t="s">
        <v>433</v>
      </c>
      <c r="F18" s="13" t="s">
        <v>132</v>
      </c>
      <c r="G18" s="13"/>
      <c r="H18" s="103">
        <f t="shared" si="1"/>
      </c>
    </row>
    <row r="19" spans="1:8" ht="12.75">
      <c r="A19" s="171" t="s">
        <v>985</v>
      </c>
      <c r="B19" s="171" t="s">
        <v>975</v>
      </c>
      <c r="C19" s="170" t="s">
        <v>273</v>
      </c>
      <c r="D19" s="170" t="s">
        <v>996</v>
      </c>
      <c r="E19" s="13" t="s">
        <v>433</v>
      </c>
      <c r="F19" s="13" t="s">
        <v>219</v>
      </c>
      <c r="G19" s="13"/>
      <c r="H19" s="103" t="str">
        <f>IF(F19="","",IF(LEFT(A18,1)&lt;"9",IF(F19-VLOOKUP($A18,AWstandards,VLOOKUP(D19,Age,2,FALSE),FALSE)&gt;0,"","aw"),IF(F19-VLOOKUP($A18,AWstandards,VLOOKUP(D19,Age,2,FALSE),FALSE)&lt;0,"","aw")))</f>
        <v>aw</v>
      </c>
    </row>
    <row r="20" spans="1:8" ht="12.75">
      <c r="A20" s="170" t="s">
        <v>982</v>
      </c>
      <c r="B20" s="171"/>
      <c r="C20" s="170" t="s">
        <v>290</v>
      </c>
      <c r="D20" s="170" t="s">
        <v>645</v>
      </c>
      <c r="E20" s="168" t="s">
        <v>473</v>
      </c>
      <c r="F20" s="13"/>
      <c r="G20" s="13"/>
      <c r="H20" s="103">
        <f>IF(F20="","",IF(LEFT(A19,1)&lt;"9",IF(F20-VLOOKUP($A19,AWstandards,VLOOKUP(#REF!,Age,2,FALSE),FALSE)&gt;0,"","aw"),IF(F20-VLOOKUP($A19,AWstandards,VLOOKUP(#REF!,Age,2,FALSE),FALSE)&lt;0,"","aw")))</f>
      </c>
    </row>
    <row r="21" spans="1:8" ht="12.75">
      <c r="A21" s="173" t="s">
        <v>981</v>
      </c>
      <c r="B21" s="171"/>
      <c r="C21" s="170" t="s">
        <v>291</v>
      </c>
      <c r="D21" s="170" t="s">
        <v>992</v>
      </c>
      <c r="E21" s="168" t="s">
        <v>473</v>
      </c>
      <c r="F21" s="13"/>
      <c r="G21" s="13"/>
      <c r="H21" s="103">
        <f>IF(F21="","",IF(LEFT(A64,1)&lt;"9",IF(F21-VLOOKUP($A64,AWstandards,VLOOKUP(D64,Age,2,FALSE),FALSE)&gt;0,"","aw"),IF(F21-VLOOKUP($A64,AWstandards,VLOOKUP(D64,Age,2,FALSE),FALSE)&lt;0,"","aw")))</f>
      </c>
    </row>
    <row r="22" spans="1:8" ht="12.75">
      <c r="A22" s="173" t="s">
        <v>982</v>
      </c>
      <c r="B22" s="171"/>
      <c r="C22" s="170" t="s">
        <v>291</v>
      </c>
      <c r="D22" s="170" t="s">
        <v>992</v>
      </c>
      <c r="E22" s="168" t="s">
        <v>473</v>
      </c>
      <c r="F22" s="13"/>
      <c r="G22" s="13"/>
      <c r="H22" s="103">
        <f>IF(F22="","",IF(LEFT(#REF!,1)&lt;"9",IF(F22-VLOOKUP(#REF!,AWstandards,VLOOKUP(#REF!,Age,2,FALSE),FALSE)&gt;0,"","aw"),IF(F22-VLOOKUP(#REF!,AWstandards,VLOOKUP(#REF!,Age,2,FALSE),FALSE)&lt;0,"","aw")))</f>
      </c>
    </row>
    <row r="23" spans="1:8" ht="12.75">
      <c r="A23" s="173" t="s">
        <v>988</v>
      </c>
      <c r="B23" s="171"/>
      <c r="C23" s="170" t="s">
        <v>289</v>
      </c>
      <c r="D23" s="170" t="s">
        <v>992</v>
      </c>
      <c r="E23" s="168" t="s">
        <v>473</v>
      </c>
      <c r="F23" s="13"/>
      <c r="G23" s="13"/>
      <c r="H23" s="103">
        <f>IF(F23="","",IF(LEFT(A65,1)&lt;"9",IF(F23-VLOOKUP($A65,AWstandards,VLOOKUP(D65,Age,2,FALSE),FALSE)&gt;0,"","aw"),IF(F23-VLOOKUP($A65,AWstandards,VLOOKUP(D65,Age,2,FALSE),FALSE)&lt;0,"","aw")))</f>
      </c>
    </row>
    <row r="24" spans="1:8" ht="12.75">
      <c r="A24" s="13" t="s">
        <v>984</v>
      </c>
      <c r="B24" s="13" t="s">
        <v>80</v>
      </c>
      <c r="C24" s="13" t="s">
        <v>388</v>
      </c>
      <c r="D24" s="13" t="s">
        <v>947</v>
      </c>
      <c r="E24" s="13" t="s">
        <v>600</v>
      </c>
      <c r="F24" s="13" t="s">
        <v>74</v>
      </c>
      <c r="G24" s="13"/>
      <c r="H24" s="103">
        <f t="shared" si="0"/>
      </c>
    </row>
    <row r="25" spans="1:8" ht="12.75">
      <c r="A25" s="13" t="s">
        <v>989</v>
      </c>
      <c r="C25" s="13" t="s">
        <v>388</v>
      </c>
      <c r="D25" s="13" t="s">
        <v>947</v>
      </c>
      <c r="E25" s="13" t="s">
        <v>600</v>
      </c>
      <c r="F25" s="13"/>
      <c r="G25" s="13"/>
      <c r="H25" s="103">
        <f t="shared" si="0"/>
      </c>
    </row>
    <row r="26" spans="1:8" ht="12.75">
      <c r="A26" s="13" t="s">
        <v>988</v>
      </c>
      <c r="C26" s="13" t="s">
        <v>384</v>
      </c>
      <c r="D26" s="13" t="s">
        <v>992</v>
      </c>
      <c r="E26" s="13" t="s">
        <v>600</v>
      </c>
      <c r="H26" s="103">
        <f t="shared" si="0"/>
      </c>
    </row>
    <row r="27" spans="1:8" ht="12.75">
      <c r="A27" s="13" t="s">
        <v>982</v>
      </c>
      <c r="C27" s="13" t="s">
        <v>304</v>
      </c>
      <c r="D27" s="13" t="s">
        <v>946</v>
      </c>
      <c r="E27" s="13" t="s">
        <v>600</v>
      </c>
      <c r="H27" s="103">
        <f t="shared" si="0"/>
      </c>
    </row>
    <row r="28" spans="1:8" ht="12.75">
      <c r="A28" s="13" t="s">
        <v>900</v>
      </c>
      <c r="C28" s="13" t="s">
        <v>304</v>
      </c>
      <c r="D28" s="13" t="s">
        <v>946</v>
      </c>
      <c r="E28" s="13" t="s">
        <v>600</v>
      </c>
      <c r="H28" s="103">
        <f t="shared" si="0"/>
      </c>
    </row>
    <row r="29" spans="1:8" ht="12.75">
      <c r="A29" s="13" t="s">
        <v>905</v>
      </c>
      <c r="C29" s="13" t="s">
        <v>406</v>
      </c>
      <c r="D29" s="13" t="s">
        <v>947</v>
      </c>
      <c r="E29" s="13" t="s">
        <v>463</v>
      </c>
      <c r="H29" s="103">
        <f t="shared" si="0"/>
      </c>
    </row>
    <row r="30" spans="1:8" ht="12.75">
      <c r="A30" s="13" t="s">
        <v>981</v>
      </c>
      <c r="B30" s="13" t="s">
        <v>975</v>
      </c>
      <c r="C30" s="13" t="s">
        <v>100</v>
      </c>
      <c r="D30" s="13" t="s">
        <v>946</v>
      </c>
      <c r="E30" s="13" t="s">
        <v>473</v>
      </c>
      <c r="F30" s="12" t="s">
        <v>101</v>
      </c>
      <c r="H30" s="103">
        <f t="shared" si="0"/>
      </c>
    </row>
    <row r="31" spans="1:8" ht="12.75">
      <c r="A31" s="13" t="s">
        <v>981</v>
      </c>
      <c r="B31" s="13" t="s">
        <v>77</v>
      </c>
      <c r="C31" s="13" t="s">
        <v>102</v>
      </c>
      <c r="D31" s="13" t="s">
        <v>998</v>
      </c>
      <c r="E31" s="13" t="s">
        <v>463</v>
      </c>
      <c r="F31" s="12" t="s">
        <v>103</v>
      </c>
      <c r="H31" s="103">
        <f t="shared" si="0"/>
      </c>
    </row>
    <row r="32" spans="1:8" ht="12.75">
      <c r="A32" s="13" t="s">
        <v>982</v>
      </c>
      <c r="B32" s="13" t="s">
        <v>975</v>
      </c>
      <c r="C32" s="13" t="s">
        <v>100</v>
      </c>
      <c r="D32" s="13" t="s">
        <v>946</v>
      </c>
      <c r="E32" s="13" t="s">
        <v>473</v>
      </c>
      <c r="F32" s="12" t="s">
        <v>184</v>
      </c>
      <c r="H32" s="103">
        <f t="shared" si="0"/>
      </c>
    </row>
    <row r="33" spans="1:8" ht="12.75">
      <c r="A33" s="13" t="s">
        <v>650</v>
      </c>
      <c r="B33" s="13" t="s">
        <v>193</v>
      </c>
      <c r="C33" s="13" t="s">
        <v>384</v>
      </c>
      <c r="D33" s="13" t="s">
        <v>992</v>
      </c>
      <c r="E33" s="13" t="s">
        <v>600</v>
      </c>
      <c r="F33" s="12" t="s">
        <v>0</v>
      </c>
      <c r="H33" s="103">
        <f t="shared" si="0"/>
      </c>
    </row>
    <row r="34" ht="12.75">
      <c r="H34" s="103">
        <f t="shared" si="0"/>
      </c>
    </row>
    <row r="35" ht="12.75">
      <c r="H35" s="103">
        <f t="shared" si="0"/>
      </c>
    </row>
    <row r="36" ht="12.75">
      <c r="H36" s="103">
        <f t="shared" si="0"/>
      </c>
    </row>
    <row r="37" ht="12.75">
      <c r="H37" s="103">
        <f t="shared" si="0"/>
      </c>
    </row>
    <row r="38" ht="12.75">
      <c r="H38" s="103">
        <f aca="true" t="shared" si="2" ref="H38:H56">IF(F38="","",IF(LEFT(A38,1)&lt;"9",IF(F38-VLOOKUP($A38,AWstandards,VLOOKUP(D38,Age,2,FALSE),FALSE)&gt;0,"","aw"),IF(F38-VLOOKUP($A38,AWstandards,VLOOKUP(D38,Age,2,FALSE),FALSE)&lt;0,"","aw")))</f>
      </c>
    </row>
    <row r="39" ht="12.75">
      <c r="H39" s="103">
        <f t="shared" si="2"/>
      </c>
    </row>
    <row r="40" ht="12.75">
      <c r="H40" s="103">
        <f t="shared" si="2"/>
      </c>
    </row>
    <row r="41" ht="12.75">
      <c r="H41" s="103">
        <f t="shared" si="2"/>
      </c>
    </row>
    <row r="42" ht="12.75">
      <c r="H42" s="103">
        <f t="shared" si="2"/>
      </c>
    </row>
    <row r="43" ht="12.75">
      <c r="H43" s="103">
        <f t="shared" si="2"/>
      </c>
    </row>
    <row r="44" ht="12.75">
      <c r="H44" s="103">
        <f t="shared" si="2"/>
      </c>
    </row>
    <row r="45" ht="12.75">
      <c r="H45" s="103">
        <f t="shared" si="2"/>
      </c>
    </row>
    <row r="46" ht="12.75">
      <c r="H46" s="103">
        <f t="shared" si="2"/>
      </c>
    </row>
    <row r="47" ht="12.75">
      <c r="H47" s="103">
        <f t="shared" si="2"/>
      </c>
    </row>
    <row r="48" ht="12.75">
      <c r="H48" s="103">
        <f t="shared" si="2"/>
      </c>
    </row>
    <row r="49" ht="12.75">
      <c r="H49" s="103">
        <f t="shared" si="2"/>
      </c>
    </row>
    <row r="50" ht="12.75">
      <c r="H50" s="103">
        <f t="shared" si="2"/>
      </c>
    </row>
    <row r="51" ht="12.75">
      <c r="H51" s="103">
        <f t="shared" si="2"/>
      </c>
    </row>
    <row r="52" ht="12.75">
      <c r="H52" s="103">
        <f t="shared" si="2"/>
      </c>
    </row>
    <row r="53" ht="12.75">
      <c r="H53" s="103">
        <f t="shared" si="2"/>
      </c>
    </row>
    <row r="54" ht="12.75">
      <c r="H54" s="103">
        <f t="shared" si="2"/>
      </c>
    </row>
    <row r="55" ht="12.75">
      <c r="H55" s="103">
        <f t="shared" si="2"/>
      </c>
    </row>
    <row r="56" ht="12.75">
      <c r="H56" s="103">
        <f t="shared" si="2"/>
      </c>
    </row>
    <row r="57" spans="5:8" ht="12.75">
      <c r="E57" s="104" t="str">
        <f>Dec!B$5</f>
        <v>Epsom &amp; Ewell</v>
      </c>
      <c r="H57" s="103"/>
    </row>
    <row r="58" spans="5:8" ht="12.75">
      <c r="E58" s="104" t="str">
        <f>Dec!B$6</f>
        <v>Crawley</v>
      </c>
      <c r="H58" s="103"/>
    </row>
    <row r="59" spans="5:8" ht="12.75">
      <c r="E59" s="104" t="str">
        <f>Dec!B$7</f>
        <v>Team Dorset</v>
      </c>
      <c r="H59" s="103"/>
    </row>
    <row r="60" spans="1:5" ht="12.75">
      <c r="A60" s="18" t="s">
        <v>791</v>
      </c>
      <c r="C60" s="18" t="s">
        <v>968</v>
      </c>
      <c r="E60" s="104" t="str">
        <f>Dec!B$8</f>
        <v>Tonbridge</v>
      </c>
    </row>
    <row r="61" spans="1:8" ht="12.75">
      <c r="A61" s="13" t="s">
        <v>906</v>
      </c>
      <c r="B61" s="13" t="s">
        <v>969</v>
      </c>
      <c r="C61" s="13" t="s">
        <v>970</v>
      </c>
      <c r="D61" s="13" t="s">
        <v>941</v>
      </c>
      <c r="E61" s="13" t="s">
        <v>971</v>
      </c>
      <c r="F61" s="13" t="s">
        <v>972</v>
      </c>
      <c r="G61" s="13" t="s">
        <v>967</v>
      </c>
      <c r="H61" s="102" t="s">
        <v>973</v>
      </c>
    </row>
    <row r="62" spans="1:8" ht="12.75">
      <c r="A62" s="13" t="s">
        <v>900</v>
      </c>
      <c r="C62" s="169" t="s">
        <v>395</v>
      </c>
      <c r="D62" s="13" t="s">
        <v>946</v>
      </c>
      <c r="E62" s="13" t="s">
        <v>600</v>
      </c>
      <c r="H62" s="103">
        <f aca="true" t="shared" si="3" ref="H62:H92">IF(F62="","",IF(LEFT(A62,1)&lt;"9",IF(F62-VLOOKUP($A62,WAWstandards,VLOOKUP(D62,Wage,2,FALSE),FALSE)&gt;0,"","aw"),IF(F62-VLOOKUP($A62,WAWstandards,VLOOKUP(D62,Wage,2,FALSE),FALSE)&lt;0,"","aw")))</f>
      </c>
    </row>
    <row r="63" spans="1:8" ht="12.75">
      <c r="A63" s="13" t="s">
        <v>852</v>
      </c>
      <c r="C63" s="169" t="s">
        <v>308</v>
      </c>
      <c r="D63" s="13" t="s">
        <v>946</v>
      </c>
      <c r="E63" s="13" t="s">
        <v>463</v>
      </c>
      <c r="H63" s="103">
        <f t="shared" si="3"/>
      </c>
    </row>
    <row r="64" spans="1:8" ht="12.75">
      <c r="A64" s="13" t="s">
        <v>900</v>
      </c>
      <c r="C64" s="169" t="s">
        <v>274</v>
      </c>
      <c r="D64" s="13" t="s">
        <v>745</v>
      </c>
      <c r="E64" s="13" t="s">
        <v>433</v>
      </c>
      <c r="H64" s="103">
        <f>IF(F64="","",IF(LEFT(#REF!,1)&lt;"9",IF(F64-VLOOKUP(#REF!,WAWstandards,VLOOKUP(#REF!,Wage,2,FALSE),FALSE)&gt;0,"","aw"),IF(F64-VLOOKUP(#REF!,WAWstandards,VLOOKUP(#REF!,Wage,2,FALSE),FALSE)&lt;0,"","aw")))</f>
      </c>
    </row>
    <row r="65" spans="1:8" ht="12">
      <c r="A65" s="13" t="s">
        <v>988</v>
      </c>
      <c r="C65" s="13" t="s">
        <v>275</v>
      </c>
      <c r="D65" s="13" t="s">
        <v>743</v>
      </c>
      <c r="E65" s="13" t="s">
        <v>433</v>
      </c>
      <c r="H65" s="103">
        <f>IF(F65="","",IF(LEFT(#REF!,1)&lt;"9",IF(F65-VLOOKUP(#REF!,WAWstandards,VLOOKUP(#REF!,Wage,2,FALSE),FALSE)&gt;0,"","aw"),IF(F65-VLOOKUP(#REF!,WAWstandards,VLOOKUP(#REF!,Wage,2,FALSE),FALSE)&lt;0,"","aw")))</f>
      </c>
    </row>
    <row r="66" spans="1:8" ht="12">
      <c r="A66" s="13" t="s">
        <v>985</v>
      </c>
      <c r="B66" s="13" t="s">
        <v>211</v>
      </c>
      <c r="C66" s="13" t="s">
        <v>104</v>
      </c>
      <c r="D66" s="13" t="s">
        <v>858</v>
      </c>
      <c r="E66" s="13" t="s">
        <v>433</v>
      </c>
      <c r="F66" s="12" t="s">
        <v>210</v>
      </c>
      <c r="H66" s="103">
        <f t="shared" si="3"/>
      </c>
    </row>
    <row r="67" spans="1:8" ht="12">
      <c r="A67" s="13" t="s">
        <v>901</v>
      </c>
      <c r="C67" s="13" t="s">
        <v>105</v>
      </c>
      <c r="D67" s="13" t="s">
        <v>946</v>
      </c>
      <c r="E67" s="13" t="s">
        <v>433</v>
      </c>
      <c r="F67" s="12" t="s">
        <v>226</v>
      </c>
      <c r="H67" s="103" t="str">
        <f t="shared" si="3"/>
        <v>aw</v>
      </c>
    </row>
    <row r="68" spans="1:8" ht="12">
      <c r="A68" s="168" t="s">
        <v>982</v>
      </c>
      <c r="B68" s="168" t="s">
        <v>193</v>
      </c>
      <c r="C68" s="168" t="s">
        <v>62</v>
      </c>
      <c r="D68" s="13" t="s">
        <v>745</v>
      </c>
      <c r="E68" s="168" t="s">
        <v>433</v>
      </c>
      <c r="F68" s="8" t="s">
        <v>192</v>
      </c>
      <c r="H68" s="103" t="str">
        <f t="shared" si="3"/>
        <v>aw</v>
      </c>
    </row>
    <row r="69" ht="12">
      <c r="H69" s="103">
        <f t="shared" si="3"/>
      </c>
    </row>
    <row r="70" ht="12">
      <c r="H70" s="103">
        <f t="shared" si="3"/>
      </c>
    </row>
    <row r="71" ht="12">
      <c r="H71" s="103">
        <f t="shared" si="3"/>
      </c>
    </row>
    <row r="72" ht="12">
      <c r="H72" s="103">
        <f t="shared" si="3"/>
      </c>
    </row>
    <row r="73" ht="12">
      <c r="H73" s="103">
        <f t="shared" si="3"/>
      </c>
    </row>
    <row r="74" ht="12">
      <c r="H74" s="103">
        <f t="shared" si="3"/>
      </c>
    </row>
    <row r="75" ht="12">
      <c r="H75" s="103">
        <f t="shared" si="3"/>
      </c>
    </row>
    <row r="76" ht="12">
      <c r="H76" s="103">
        <f t="shared" si="3"/>
      </c>
    </row>
    <row r="77" ht="12">
      <c r="H77" s="103">
        <f t="shared" si="3"/>
      </c>
    </row>
    <row r="78" ht="12">
      <c r="H78" s="103">
        <f t="shared" si="3"/>
      </c>
    </row>
    <row r="79" ht="12">
      <c r="H79" s="103">
        <f t="shared" si="3"/>
      </c>
    </row>
    <row r="80" ht="12">
      <c r="H80" s="103">
        <f t="shared" si="3"/>
      </c>
    </row>
    <row r="81" ht="12">
      <c r="H81" s="103">
        <f t="shared" si="3"/>
      </c>
    </row>
    <row r="82" ht="12">
      <c r="H82" s="103">
        <f t="shared" si="3"/>
      </c>
    </row>
    <row r="83" ht="12">
      <c r="H83" s="103">
        <f t="shared" si="3"/>
      </c>
    </row>
    <row r="84" ht="12">
      <c r="H84" s="103">
        <f t="shared" si="3"/>
      </c>
    </row>
    <row r="85" ht="12">
      <c r="H85" s="103">
        <f t="shared" si="3"/>
      </c>
    </row>
    <row r="86" ht="12">
      <c r="H86" s="103">
        <f t="shared" si="3"/>
      </c>
    </row>
    <row r="87" ht="12">
      <c r="H87" s="103">
        <f t="shared" si="3"/>
      </c>
    </row>
    <row r="88" ht="12">
      <c r="H88" s="103">
        <f t="shared" si="3"/>
      </c>
    </row>
    <row r="89" ht="12">
      <c r="H89" s="103">
        <f t="shared" si="3"/>
      </c>
    </row>
    <row r="90" ht="12">
      <c r="H90" s="103">
        <f t="shared" si="3"/>
      </c>
    </row>
    <row r="91" ht="12">
      <c r="H91" s="103">
        <f t="shared" si="3"/>
      </c>
    </row>
    <row r="92" ht="12">
      <c r="H92" s="103">
        <f t="shared" si="3"/>
      </c>
    </row>
    <row r="93" ht="12">
      <c r="H93" s="103">
        <f aca="true" t="shared" si="4" ref="H93:H111">IF(F93="","",IF(LEFT(A93,1)&lt;"9",IF(F93-VLOOKUP($A93,WAWstandards,VLOOKUP(D93,Wage,2,FALSE),FALSE)&gt;0,"","aw"),IF(F93-VLOOKUP($A93,WAWstandards,VLOOKUP(D93,Wage,2,FALSE),FALSE)&lt;0,"","aw")))</f>
      </c>
    </row>
    <row r="94" ht="12">
      <c r="H94" s="103">
        <f t="shared" si="4"/>
      </c>
    </row>
    <row r="95" ht="12">
      <c r="H95" s="103">
        <f t="shared" si="4"/>
      </c>
    </row>
    <row r="96" ht="12">
      <c r="H96" s="103">
        <f t="shared" si="4"/>
      </c>
    </row>
    <row r="97" ht="12">
      <c r="H97" s="103">
        <f t="shared" si="4"/>
      </c>
    </row>
    <row r="98" ht="12">
      <c r="H98" s="103">
        <f t="shared" si="4"/>
      </c>
    </row>
    <row r="99" ht="12">
      <c r="H99" s="103">
        <f t="shared" si="4"/>
      </c>
    </row>
    <row r="100" ht="12">
      <c r="H100" s="103">
        <f t="shared" si="4"/>
      </c>
    </row>
    <row r="101" ht="12">
      <c r="H101" s="103">
        <f t="shared" si="4"/>
      </c>
    </row>
    <row r="102" ht="12">
      <c r="H102" s="103">
        <f t="shared" si="4"/>
      </c>
    </row>
    <row r="103" ht="12">
      <c r="H103" s="103">
        <f t="shared" si="4"/>
      </c>
    </row>
    <row r="104" ht="12">
      <c r="H104" s="103">
        <f t="shared" si="4"/>
      </c>
    </row>
    <row r="105" ht="12">
      <c r="H105" s="103">
        <f t="shared" si="4"/>
      </c>
    </row>
    <row r="106" ht="12">
      <c r="H106" s="103">
        <f t="shared" si="4"/>
      </c>
    </row>
    <row r="107" ht="12">
      <c r="H107" s="103">
        <f t="shared" si="4"/>
      </c>
    </row>
    <row r="108" ht="12">
      <c r="H108" s="103">
        <f t="shared" si="4"/>
      </c>
    </row>
    <row r="109" ht="12">
      <c r="H109" s="103">
        <f t="shared" si="4"/>
      </c>
    </row>
    <row r="110" ht="12">
      <c r="H110" s="103">
        <f t="shared" si="4"/>
      </c>
    </row>
    <row r="111" ht="12">
      <c r="H111" s="103">
        <f t="shared" si="4"/>
      </c>
    </row>
  </sheetData>
  <sheetProtection selectLockedCells="1"/>
  <dataValidations count="4">
    <dataValidation type="list" allowBlank="1" showInputMessage="1" showErrorMessage="1" sqref="A6:A19 A24:A55 A64:A65">
      <formula1>Event</formula1>
    </dataValidation>
    <dataValidation type="list" allowBlank="1" showInputMessage="1" showErrorMessage="1" sqref="D19 D6:D17 D24:D56">
      <formula1>Mencat</formula1>
    </dataValidation>
    <dataValidation type="list" allowBlank="1" showInputMessage="1" showErrorMessage="1" sqref="A62:A63 A66:A111">
      <formula1>WEvent</formula1>
    </dataValidation>
    <dataValidation type="list" allowBlank="1" showInputMessage="1" showErrorMessage="1" sqref="D62:D111">
      <formula1>Womcat</formula1>
    </dataValidation>
  </dataValidations>
  <printOptions/>
  <pageMargins left="0.7500000000000001" right="0.7500000000000001" top="1" bottom="1" header="0.5" footer="0.5"/>
  <pageSetup fitToHeight="1" fitToWidth="1" horizontalDpi="300" verticalDpi="300" orientation="portrait" scale="4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OPEN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Southern Athletics League</dc:title>
  <dc:subject/>
  <dc:creator>Mick Bromilow</dc:creator>
  <cp:keywords/>
  <dc:description/>
  <cp:lastModifiedBy>Mark Hookway</cp:lastModifiedBy>
  <cp:lastPrinted>2014-06-22T18:53:10Z</cp:lastPrinted>
  <dcterms:created xsi:type="dcterms:W3CDTF">2002-05-16T09:38:47Z</dcterms:created>
  <dcterms:modified xsi:type="dcterms:W3CDTF">2014-06-22T20:28:48Z</dcterms:modified>
  <cp:category/>
  <cp:version/>
  <cp:contentType/>
  <cp:contentStatus/>
</cp:coreProperties>
</file>